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<sst xmlns="http://schemas.openxmlformats.org/spreadsheetml/2006/main" count="114" uniqueCount="94">
  <si>
    <t>Приложение</t>
  </si>
  <si>
    <t>к протоколу Наблюдательного совета</t>
  </si>
  <si>
    <t>№4  от 29 мая 2020 г.</t>
  </si>
  <si>
    <t>Ключевые показатели эффективности АО "Узнефтегазинформатика" за 2022 г.</t>
  </si>
  <si>
    <t>ИКЭ</t>
  </si>
  <si>
    <t>№</t>
  </si>
  <si>
    <t>Показатель</t>
  </si>
  <si>
    <t>Удельный
вес</t>
  </si>
  <si>
    <t>I квартал факт</t>
  </si>
  <si>
    <t>I полугодие</t>
  </si>
  <si>
    <t>9 месяцев</t>
  </si>
  <si>
    <t>Год</t>
  </si>
  <si>
    <t xml:space="preserve">Прогнозное значение </t>
  </si>
  <si>
    <t>год  факт</t>
  </si>
  <si>
    <t>Процент выполнения</t>
  </si>
  <si>
    <t>Вес*КПЭ/100</t>
  </si>
  <si>
    <t>Прибыль до вычета процентов, налогов и амортизации. (EBITDA — Earnings Before Interest, Taxes, Depreciation &amp; Amortization)*, тыс. сум</t>
  </si>
  <si>
    <t>Соотношение затрат и доходов (CIR — Cost Income Ratio)*</t>
  </si>
  <si>
    <t>Рентабельность привлеченного капитала (ROCE — Return on Capital Employed)*</t>
  </si>
  <si>
    <t>Рентабельность акционерного капитала (ROE — Return On Equity)*</t>
  </si>
  <si>
    <t>Рентабельность инвестиций акционеров (TSR — Total Shareholders Return)*</t>
  </si>
  <si>
    <t>Выполнение прогноза чистой выручки от реализации (в тыс.сумах)</t>
  </si>
  <si>
    <t>Выполнение прогноза чистой прибыли (убытка) (в тыс.сумах)</t>
  </si>
  <si>
    <r>
      <t>Рентабельность активов, К</t>
    </r>
    <r>
      <rPr>
        <b/>
        <vertAlign val="subscript"/>
        <sz val="9"/>
        <rFont val="Arial"/>
        <family val="2"/>
      </rPr>
      <t>рр</t>
    </r>
    <r>
      <rPr>
        <b/>
        <sz val="9"/>
        <rFont val="Arial"/>
        <family val="2"/>
      </rPr>
      <t>=П</t>
    </r>
    <r>
      <rPr>
        <b/>
        <vertAlign val="subscript"/>
        <sz val="9"/>
        <rFont val="Arial"/>
        <family val="2"/>
      </rPr>
      <t>удн</t>
    </r>
    <r>
      <rPr>
        <b/>
        <sz val="9"/>
        <rFont val="Arial"/>
        <family val="2"/>
      </rPr>
      <t>/А</t>
    </r>
    <r>
      <rPr>
        <b/>
        <vertAlign val="subscript"/>
        <sz val="9"/>
        <rFont val="Arial"/>
        <family val="2"/>
      </rPr>
      <t>ср</t>
    </r>
  </si>
  <si>
    <r>
      <t>П</t>
    </r>
    <r>
      <rPr>
        <vertAlign val="subscript"/>
        <sz val="9"/>
        <rFont val="Arial"/>
        <family val="2"/>
      </rPr>
      <t>удн</t>
    </r>
    <r>
      <rPr>
        <sz val="9"/>
        <rFont val="Arial"/>
        <family val="2"/>
      </rPr>
      <t>- прибыль до уплаты налога на прибыль, тыс. сум,
графа 5 (прибыль) или 6 (убыток), строка 240 формы №2 "Отчет о финансовых результатах"</t>
    </r>
  </si>
  <si>
    <r>
      <t>А</t>
    </r>
    <r>
      <rPr>
        <vertAlign val="subscript"/>
        <sz val="9"/>
        <rFont val="Arial"/>
        <family val="2"/>
      </rPr>
      <t>ср</t>
    </r>
    <r>
      <rPr>
        <sz val="9"/>
        <rFont val="Arial"/>
        <family val="2"/>
      </rPr>
      <t xml:space="preserve"> =(A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>+A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)/2, тыс. сум</t>
    </r>
  </si>
  <si>
    <r>
      <t>A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- стоимость активов на начало периода, тыс. сум,
графа 3 строки 400 формы №1 "Бухгалтерский баланс"</t>
    </r>
  </si>
  <si>
    <r>
      <t>А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- стоимость активов на конец периода, тыс. сум,
графа 4 строки 400 формы №1 "Бухгалтерский баланс"</t>
    </r>
  </si>
  <si>
    <r>
      <t>Коэффициент финансовой независимости, K</t>
    </r>
    <r>
      <rPr>
        <b/>
        <vertAlign val="subscript"/>
        <sz val="9"/>
        <rFont val="Arial"/>
        <family val="2"/>
      </rPr>
      <t>cc</t>
    </r>
    <r>
      <rPr>
        <b/>
        <sz val="9"/>
        <rFont val="Arial"/>
        <family val="2"/>
      </rPr>
      <t>=П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>/(П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-Д</t>
    </r>
    <r>
      <rPr>
        <b/>
        <vertAlign val="subscript"/>
        <sz val="9"/>
        <rFont val="Arial"/>
        <family val="2"/>
      </rPr>
      <t>о</t>
    </r>
    <r>
      <rPr>
        <b/>
        <sz val="9"/>
        <rFont val="Arial"/>
        <family val="2"/>
      </rPr>
      <t xml:space="preserve">) </t>
    </r>
  </si>
  <si>
    <t>П1 - источники собственных средств, тыс. сум, строка 480 раздела I раздела пассива баланса</t>
  </si>
  <si>
    <t>П2 - обязательства, тыс. сум, строка 770 раздела II раздела пассива баланса</t>
  </si>
  <si>
    <t>До - долгосрочные обязательства, тыс. сум, строка 490 бухгалтерского баланса</t>
  </si>
  <si>
    <r>
      <t>Коэффициент покрытия (платежеспособности), К</t>
    </r>
    <r>
      <rPr>
        <b/>
        <vertAlign val="subscript"/>
        <sz val="9"/>
        <rFont val="Arial"/>
        <family val="2"/>
      </rPr>
      <t>пл</t>
    </r>
    <r>
      <rPr>
        <b/>
        <sz val="9"/>
        <rFont val="Arial"/>
        <family val="2"/>
      </rPr>
      <t>=А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/(П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-Д</t>
    </r>
    <r>
      <rPr>
        <b/>
        <vertAlign val="subscript"/>
        <sz val="9"/>
        <rFont val="Arial"/>
        <family val="2"/>
      </rPr>
      <t>о</t>
    </r>
    <r>
      <rPr>
        <b/>
        <sz val="9"/>
        <rFont val="Arial"/>
        <family val="2"/>
      </rPr>
      <t xml:space="preserve">) </t>
    </r>
  </si>
  <si>
    <r>
      <t>А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- текущие активы, тыс. сум, строка 390 баланса</t>
    </r>
  </si>
  <si>
    <r>
      <t>П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- обязательства, тыс. сум, строка 770 баланса</t>
    </r>
  </si>
  <si>
    <r>
      <t>Д</t>
    </r>
    <r>
      <rPr>
        <vertAlign val="subscript"/>
        <sz val="9"/>
        <rFont val="Arial"/>
        <family val="2"/>
      </rPr>
      <t>о</t>
    </r>
    <r>
      <rPr>
        <sz val="9"/>
        <rFont val="Arial"/>
        <family val="2"/>
      </rPr>
      <t xml:space="preserve"> - долгосрочные обязательства, тыс. сум, строка 490 баланса</t>
    </r>
  </si>
  <si>
    <r>
      <t>Дивидендный выход, Д</t>
    </r>
    <r>
      <rPr>
        <b/>
        <vertAlign val="subscript"/>
        <sz val="9"/>
        <color indexed="8"/>
        <rFont val="Arial"/>
        <family val="2"/>
      </rPr>
      <t>в</t>
    </r>
    <r>
      <rPr>
        <b/>
        <sz val="9"/>
        <color indexed="8"/>
        <rFont val="Arial"/>
        <family val="2"/>
      </rPr>
      <t>=Д</t>
    </r>
    <r>
      <rPr>
        <b/>
        <vertAlign val="subscript"/>
        <sz val="9"/>
        <color indexed="8"/>
        <rFont val="Arial"/>
        <family val="2"/>
      </rPr>
      <t>ао</t>
    </r>
    <r>
      <rPr>
        <b/>
        <sz val="9"/>
        <color indexed="8"/>
        <rFont val="Arial"/>
        <family val="2"/>
      </rPr>
      <t>/EPS</t>
    </r>
  </si>
  <si>
    <r>
      <t>Д</t>
    </r>
    <r>
      <rPr>
        <vertAlign val="subscript"/>
        <sz val="9"/>
        <color indexed="8"/>
        <rFont val="Arial"/>
        <family val="2"/>
      </rPr>
      <t>ао</t>
    </r>
    <r>
      <rPr>
        <sz val="9"/>
        <color indexed="8"/>
        <rFont val="Arial"/>
        <family val="2"/>
      </rPr>
      <t>- начисленный дивиденд на одну простую акцию, тыс. сум, (на основании документов бухгалтерского учета)</t>
    </r>
  </si>
  <si>
    <r>
      <t>EPS - доход на акцию, (Ч</t>
    </r>
    <r>
      <rPr>
        <vertAlign val="subscript"/>
        <sz val="9"/>
        <color indexed="8"/>
        <rFont val="Arial"/>
        <family val="2"/>
      </rPr>
      <t>п</t>
    </r>
    <r>
      <rPr>
        <sz val="9"/>
        <color indexed="8"/>
        <rFont val="Arial"/>
        <family val="2"/>
      </rPr>
      <t>-ДИВ</t>
    </r>
    <r>
      <rPr>
        <vertAlign val="subscript"/>
        <sz val="9"/>
        <color indexed="8"/>
        <rFont val="Arial"/>
        <family val="2"/>
      </rPr>
      <t>прив</t>
    </r>
    <r>
      <rPr>
        <sz val="9"/>
        <color indexed="8"/>
        <rFont val="Arial"/>
        <family val="2"/>
      </rPr>
      <t>)/К</t>
    </r>
    <r>
      <rPr>
        <vertAlign val="subscript"/>
        <sz val="9"/>
        <color indexed="8"/>
        <rFont val="Arial"/>
        <family val="2"/>
      </rPr>
      <t>ао</t>
    </r>
  </si>
  <si>
    <r>
      <t>Ч</t>
    </r>
    <r>
      <rPr>
        <vertAlign val="subscript"/>
        <sz val="9"/>
        <color indexed="8"/>
        <rFont val="Arial"/>
        <family val="2"/>
      </rPr>
      <t xml:space="preserve">п </t>
    </r>
    <r>
      <rPr>
        <sz val="9"/>
        <color indexed="8"/>
        <rFont val="Arial"/>
        <family val="2"/>
      </rPr>
      <t xml:space="preserve">- чистая прибыль отчетного периода, тыс. сум, строка 270, графа 5 формы №2 "отчет о финансовых результатах" </t>
    </r>
  </si>
  <si>
    <r>
      <t>ДИВ</t>
    </r>
    <r>
      <rPr>
        <vertAlign val="subscript"/>
        <sz val="9"/>
        <color indexed="8"/>
        <rFont val="Arial"/>
        <family val="2"/>
      </rPr>
      <t>прив</t>
    </r>
    <r>
      <rPr>
        <sz val="9"/>
        <color indexed="8"/>
        <rFont val="Arial"/>
        <family val="2"/>
      </rPr>
      <t xml:space="preserve"> - начисленные дивиденды по привилегированным акциям</t>
    </r>
  </si>
  <si>
    <r>
      <t>К</t>
    </r>
    <r>
      <rPr>
        <vertAlign val="subscript"/>
        <sz val="9"/>
        <color indexed="8"/>
        <rFont val="Arial"/>
        <family val="2"/>
      </rPr>
      <t xml:space="preserve">ао </t>
    </r>
    <r>
      <rPr>
        <sz val="9"/>
        <color indexed="8"/>
        <rFont val="Arial"/>
        <family val="2"/>
      </rPr>
      <t>- общее число размещенных простых акций (строка 152 «простые», графа 9 «Итого» формы № 5 «Отчет о собственном капитале»).</t>
    </r>
  </si>
  <si>
    <t>Всего</t>
  </si>
  <si>
    <t>II. Дополнительные ключевые показатели эффективности</t>
  </si>
  <si>
    <r>
      <rPr>
        <b/>
        <sz val="9"/>
        <rFont val="Arial"/>
        <family val="2"/>
      </rPr>
      <t>Прибыль до уплаты процентов, налогов (EBIT — Earnings Before Interest, Taxes)*</t>
    </r>
    <r>
      <rPr>
        <sz val="9"/>
        <rFont val="Arial"/>
        <family val="2"/>
      </rPr>
      <t xml:space="preserve">
(прибыль до налогообложения) + (проценты к уплате)
</t>
    </r>
  </si>
  <si>
    <t>– Возмещенный налог на прибыль</t>
  </si>
  <si>
    <t>(+ Чрезвычайные расходы)</t>
  </si>
  <si>
    <t>(– Чрезвычайные доходы)</t>
  </si>
  <si>
    <t>+ Проценты уплаченные</t>
  </si>
  <si>
    <t>– Проценты полученные</t>
  </si>
  <si>
    <t>= EBIT</t>
  </si>
  <si>
    <r>
      <rPr>
        <b/>
        <sz val="9"/>
        <rFont val="Arial"/>
        <family val="2"/>
      </rPr>
      <t>Прибыль до вычета процентов, налогов и амортизации (EBITDA — Earnings Before Interest, Taxes, Depreciation &amp; Amortization)*</t>
    </r>
    <r>
      <rPr>
        <sz val="9"/>
        <rFont val="Arial"/>
        <family val="2"/>
      </rPr>
      <t xml:space="preserve">
(прибыль до налогообложения) + (проценты
к уплате) + (амортизация ОС и НМА)
</t>
    </r>
  </si>
  <si>
    <t>+ Амортизационные отчисления по материальным и нематериальным активам</t>
  </si>
  <si>
    <t>– Переоценка активов</t>
  </si>
  <si>
    <t>= EBITDA</t>
  </si>
  <si>
    <r>
      <rPr>
        <b/>
        <sz val="9"/>
        <rFont val="Arial"/>
        <family val="2"/>
      </rPr>
      <t>Соотношение затрат и доходов (CIR — Cost Income Ratio)*</t>
    </r>
    <r>
      <rPr>
        <sz val="9"/>
        <rFont val="Arial"/>
        <family val="2"/>
      </rPr>
      <t xml:space="preserve">
(операционные расходы)/выручка
</t>
    </r>
  </si>
  <si>
    <t>операционные расходы</t>
  </si>
  <si>
    <t>/выручка</t>
  </si>
  <si>
    <r>
      <rPr>
        <b/>
        <sz val="9"/>
        <rFont val="Arial"/>
        <family val="2"/>
      </rPr>
      <t xml:space="preserve">Рентабельность привлеченного капитала (ROCE — Return on Capital Employed)*  </t>
    </r>
    <r>
      <rPr>
        <i/>
        <sz val="9"/>
        <rFont val="Arial"/>
        <family val="2"/>
      </rPr>
      <t>(чистая прибыль)/(привлеченный капитал на начало и конец периода).</t>
    </r>
  </si>
  <si>
    <t>Чистая прибыль</t>
  </si>
  <si>
    <t>/( привлеченный капитал на начало и конец периода)</t>
  </si>
  <si>
    <t>/(среднегодовой акционерный капитал)</t>
  </si>
  <si>
    <r>
      <t>Коэффициент абсолютной ликвидности, К</t>
    </r>
    <r>
      <rPr>
        <b/>
        <vertAlign val="subscript"/>
        <sz val="9"/>
        <rFont val="Arial"/>
        <family val="2"/>
      </rPr>
      <t>ал</t>
    </r>
    <r>
      <rPr>
        <b/>
        <sz val="9"/>
        <rFont val="Arial"/>
        <family val="2"/>
      </rPr>
      <t>=Д</t>
    </r>
    <r>
      <rPr>
        <b/>
        <vertAlign val="subscript"/>
        <sz val="9"/>
        <rFont val="Arial"/>
        <family val="2"/>
      </rPr>
      <t>с</t>
    </r>
    <r>
      <rPr>
        <b/>
        <sz val="9"/>
        <rFont val="Arial"/>
        <family val="2"/>
      </rPr>
      <t>/Т</t>
    </r>
    <r>
      <rPr>
        <b/>
        <vertAlign val="subscript"/>
        <sz val="9"/>
        <rFont val="Arial"/>
        <family val="2"/>
      </rPr>
      <t>о</t>
    </r>
  </si>
  <si>
    <t>Дс - денежные средства, тыс. сум, строка 320 раздела актива баланса (сумма строк 330+340+350+360)</t>
  </si>
  <si>
    <t>То - текущие обязательства, тыс. сум, строка 600 II раздела пассива баланса</t>
  </si>
  <si>
    <r>
      <t>Оборачиваемость кредиторской задолженности в днях, О</t>
    </r>
    <r>
      <rPr>
        <b/>
        <vertAlign val="subscript"/>
        <sz val="9"/>
        <rFont val="Arial"/>
        <family val="2"/>
      </rPr>
      <t>кз</t>
    </r>
    <r>
      <rPr>
        <b/>
        <vertAlign val="superscript"/>
        <sz val="9"/>
        <rFont val="Arial"/>
        <family val="2"/>
      </rPr>
      <t>дн</t>
    </r>
    <r>
      <rPr>
        <b/>
        <sz val="9"/>
        <rFont val="Arial"/>
        <family val="2"/>
      </rPr>
      <t>=Д</t>
    </r>
    <r>
      <rPr>
        <b/>
        <vertAlign val="subscript"/>
        <sz val="9"/>
        <rFont val="Arial"/>
        <family val="2"/>
      </rPr>
      <t>н</t>
    </r>
    <r>
      <rPr>
        <b/>
        <sz val="9"/>
        <rFont val="Arial"/>
        <family val="2"/>
      </rPr>
      <t>/(В</t>
    </r>
    <r>
      <rPr>
        <b/>
        <vertAlign val="subscript"/>
        <sz val="9"/>
        <rFont val="Arial"/>
        <family val="2"/>
      </rPr>
      <t>р</t>
    </r>
    <r>
      <rPr>
        <b/>
        <sz val="9"/>
        <rFont val="Arial"/>
        <family val="2"/>
      </rPr>
      <t>/К</t>
    </r>
    <r>
      <rPr>
        <b/>
        <vertAlign val="subscript"/>
        <sz val="9"/>
        <rFont val="Arial"/>
        <family val="2"/>
      </rPr>
      <t>з</t>
    </r>
    <r>
      <rPr>
        <b/>
        <vertAlign val="superscript"/>
        <sz val="9"/>
        <rFont val="Arial"/>
        <family val="2"/>
      </rPr>
      <t>ср</t>
    </r>
    <r>
      <rPr>
        <b/>
        <sz val="9"/>
        <rFont val="Arial"/>
        <family val="2"/>
      </rPr>
      <t>)</t>
    </r>
  </si>
  <si>
    <r>
      <t>Д</t>
    </r>
    <r>
      <rPr>
        <vertAlign val="subscript"/>
        <sz val="9"/>
        <rFont val="Arial"/>
        <family val="2"/>
      </rPr>
      <t xml:space="preserve">н </t>
    </r>
    <r>
      <rPr>
        <sz val="9"/>
        <rFont val="Arial"/>
        <family val="2"/>
      </rPr>
      <t xml:space="preserve"> - количество календарных дней в периоде (90,180,270,365)</t>
    </r>
  </si>
  <si>
    <r>
      <t>В</t>
    </r>
    <r>
      <rPr>
        <vertAlign val="subscript"/>
        <sz val="9"/>
        <rFont val="Arial"/>
        <family val="2"/>
      </rPr>
      <t xml:space="preserve">р </t>
    </r>
    <r>
      <rPr>
        <sz val="9"/>
        <rFont val="Arial"/>
        <family val="2"/>
      </rPr>
      <t>- чистая выручка от реализации продукции (работ, услуг) отчетного периода, тыс. сум, стр. 010, графа 5 формы №2 "Отчет о финансовых результатах"</t>
    </r>
  </si>
  <si>
    <r>
      <t>К</t>
    </r>
    <r>
      <rPr>
        <vertAlign val="subscript"/>
        <sz val="9"/>
        <rFont val="Arial"/>
        <family val="2"/>
      </rPr>
      <t>з</t>
    </r>
    <r>
      <rPr>
        <vertAlign val="superscript"/>
        <sz val="9"/>
        <rFont val="Arial"/>
        <family val="2"/>
      </rPr>
      <t xml:space="preserve">ср </t>
    </r>
    <r>
      <rPr>
        <sz val="9"/>
        <rFont val="Arial"/>
        <family val="2"/>
      </rPr>
      <t>- среднее арифметическое значение кредиторской задолженности, тыс. сум</t>
    </r>
  </si>
  <si>
    <r>
      <t>К</t>
    </r>
    <r>
      <rPr>
        <vertAlign val="subscript"/>
        <sz val="9"/>
        <rFont val="Arial"/>
        <family val="2"/>
      </rPr>
      <t>з</t>
    </r>
    <r>
      <rPr>
        <vertAlign val="superscript"/>
        <sz val="9"/>
        <rFont val="Arial"/>
        <family val="2"/>
      </rPr>
      <t xml:space="preserve">н  </t>
    </r>
    <r>
      <rPr>
        <sz val="9"/>
        <rFont val="Arial"/>
        <family val="2"/>
      </rPr>
      <t xml:space="preserve">- кредиторская задолженность на начало периода, тыс. сум, строка 601 баланса </t>
    </r>
  </si>
  <si>
    <r>
      <t>К</t>
    </r>
    <r>
      <rPr>
        <vertAlign val="subscript"/>
        <sz val="9"/>
        <rFont val="Arial"/>
        <family val="2"/>
      </rPr>
      <t>з</t>
    </r>
    <r>
      <rPr>
        <vertAlign val="superscript"/>
        <sz val="9"/>
        <rFont val="Arial"/>
        <family val="2"/>
      </rPr>
      <t xml:space="preserve">к  </t>
    </r>
    <r>
      <rPr>
        <sz val="9"/>
        <rFont val="Arial"/>
        <family val="2"/>
      </rPr>
      <t xml:space="preserve">- кредиторская задолженность на конец периода, тыс. сум, строка 601 баланса </t>
    </r>
  </si>
  <si>
    <r>
      <t>Оборачиваемость дебиторской задолженности в днях, О</t>
    </r>
    <r>
      <rPr>
        <b/>
        <vertAlign val="subscript"/>
        <sz val="9"/>
        <rFont val="Arial"/>
        <family val="2"/>
      </rPr>
      <t>дз</t>
    </r>
    <r>
      <rPr>
        <b/>
        <vertAlign val="superscript"/>
        <sz val="9"/>
        <rFont val="Arial"/>
        <family val="2"/>
      </rPr>
      <t>дн</t>
    </r>
    <r>
      <rPr>
        <b/>
        <sz val="9"/>
        <rFont val="Arial"/>
        <family val="2"/>
      </rPr>
      <t>=Д</t>
    </r>
    <r>
      <rPr>
        <b/>
        <vertAlign val="subscript"/>
        <sz val="9"/>
        <rFont val="Arial"/>
        <family val="2"/>
      </rPr>
      <t>н</t>
    </r>
    <r>
      <rPr>
        <b/>
        <sz val="9"/>
        <rFont val="Arial"/>
        <family val="2"/>
      </rPr>
      <t>/(В</t>
    </r>
    <r>
      <rPr>
        <b/>
        <vertAlign val="subscript"/>
        <sz val="9"/>
        <rFont val="Arial"/>
        <family val="2"/>
      </rPr>
      <t>р</t>
    </r>
    <r>
      <rPr>
        <b/>
        <sz val="9"/>
        <rFont val="Arial"/>
        <family val="2"/>
      </rPr>
      <t>/Д</t>
    </r>
    <r>
      <rPr>
        <b/>
        <vertAlign val="subscript"/>
        <sz val="9"/>
        <rFont val="Arial"/>
        <family val="2"/>
      </rPr>
      <t>з</t>
    </r>
    <r>
      <rPr>
        <b/>
        <vertAlign val="superscript"/>
        <sz val="9"/>
        <rFont val="Arial"/>
        <family val="2"/>
      </rPr>
      <t>ср</t>
    </r>
    <r>
      <rPr>
        <b/>
        <sz val="9"/>
        <rFont val="Arial"/>
        <family val="2"/>
      </rPr>
      <t>)</t>
    </r>
  </si>
  <si>
    <r>
      <t>Д</t>
    </r>
    <r>
      <rPr>
        <vertAlign val="subscript"/>
        <sz val="9"/>
        <rFont val="Arial"/>
        <family val="2"/>
      </rPr>
      <t xml:space="preserve">н </t>
    </r>
    <r>
      <rPr>
        <sz val="9"/>
        <rFont val="Arial"/>
        <family val="2"/>
      </rPr>
      <t>- количество календарных дней в периоде (90,180,270,365)</t>
    </r>
  </si>
  <si>
    <r>
      <t>В</t>
    </r>
    <r>
      <rPr>
        <vertAlign val="subscript"/>
        <sz val="9"/>
        <rFont val="Arial"/>
        <family val="2"/>
      </rPr>
      <t xml:space="preserve">р </t>
    </r>
    <r>
      <rPr>
        <sz val="9"/>
        <rFont val="Arial"/>
        <family val="2"/>
      </rPr>
      <t>- чистая выручка от реализации продукции (работ, услуг) отчетного периода, тыс. сум, стр.010, графа 5 формы №2 "Отчет о финансовых результатах"</t>
    </r>
  </si>
  <si>
    <r>
      <t>Д</t>
    </r>
    <r>
      <rPr>
        <vertAlign val="subscript"/>
        <sz val="9"/>
        <rFont val="Arial"/>
        <family val="2"/>
      </rPr>
      <t>з</t>
    </r>
    <r>
      <rPr>
        <vertAlign val="superscript"/>
        <sz val="9"/>
        <rFont val="Arial"/>
        <family val="2"/>
      </rPr>
      <t xml:space="preserve">ср </t>
    </r>
    <r>
      <rPr>
        <sz val="9"/>
        <rFont val="Arial"/>
        <family val="2"/>
      </rPr>
      <t>- среднее арифметическое значение дебиторской задолженности, тыс. сум</t>
    </r>
  </si>
  <si>
    <r>
      <t>Д</t>
    </r>
    <r>
      <rPr>
        <vertAlign val="subscript"/>
        <sz val="9"/>
        <rFont val="Arial"/>
        <family val="2"/>
      </rPr>
      <t>з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 xml:space="preserve">- дебиторская задолженность на начало периода, тыс. сум, строка 210 баланса </t>
    </r>
  </si>
  <si>
    <r>
      <t>Д</t>
    </r>
    <r>
      <rPr>
        <vertAlign val="subscript"/>
        <sz val="9"/>
        <rFont val="Arial"/>
        <family val="2"/>
      </rPr>
      <t>з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 xml:space="preserve">- дебиторская задолженность на конец периода, тыс. сум, строка 210 баланса </t>
    </r>
  </si>
  <si>
    <t>Коэффициент износа основных средств, Кизн=И/О</t>
  </si>
  <si>
    <t>И - износ основных средств, строка 011б</t>
  </si>
  <si>
    <t>О - первоначальная стоимость основных средств, строка 010б формы № 1 «Бухгалтерский баланс».</t>
  </si>
  <si>
    <r>
      <t>Коэффициент обновления основных средств, К</t>
    </r>
    <r>
      <rPr>
        <b/>
        <vertAlign val="subscript"/>
        <sz val="9"/>
        <rFont val="Arial"/>
        <family val="2"/>
      </rPr>
      <t>н</t>
    </r>
    <r>
      <rPr>
        <b/>
        <sz val="9"/>
        <rFont val="Arial"/>
        <family val="2"/>
      </rPr>
      <t>=А</t>
    </r>
    <r>
      <rPr>
        <b/>
        <vertAlign val="subscript"/>
        <sz val="9"/>
        <rFont val="Arial"/>
        <family val="2"/>
      </rPr>
      <t>н</t>
    </r>
    <r>
      <rPr>
        <b/>
        <sz val="9"/>
        <rFont val="Arial"/>
        <family val="2"/>
      </rPr>
      <t>/А</t>
    </r>
    <r>
      <rPr>
        <b/>
        <vertAlign val="subscript"/>
        <sz val="9"/>
        <rFont val="Arial"/>
        <family val="2"/>
      </rPr>
      <t>кос</t>
    </r>
  </si>
  <si>
    <t>Ан - балансовая стоимость поступивших за период основных средств, строка 101, графа 2м2</t>
  </si>
  <si>
    <t>Акос - балансовая стоимость всех основных средств на конец периода, строка 101, графа 9м2</t>
  </si>
  <si>
    <r>
      <t>Производительность труда, тыс. сум, В</t>
    </r>
    <r>
      <rPr>
        <b/>
        <vertAlign val="subscript"/>
        <sz val="9"/>
        <rFont val="Arial"/>
        <family val="2"/>
      </rPr>
      <t>ч</t>
    </r>
    <r>
      <rPr>
        <b/>
        <sz val="9"/>
        <rFont val="Arial"/>
        <family val="2"/>
      </rPr>
      <t>=В</t>
    </r>
    <r>
      <rPr>
        <b/>
        <vertAlign val="subscript"/>
        <sz val="9"/>
        <rFont val="Arial"/>
        <family val="2"/>
      </rPr>
      <t>р</t>
    </r>
    <r>
      <rPr>
        <b/>
        <sz val="9"/>
        <rFont val="Arial"/>
        <family val="2"/>
      </rPr>
      <t>/Ч</t>
    </r>
    <r>
      <rPr>
        <b/>
        <vertAlign val="subscript"/>
        <sz val="9"/>
        <rFont val="Arial"/>
        <family val="2"/>
      </rPr>
      <t>ср</t>
    </r>
  </si>
  <si>
    <t>Вр - чистая выручка от реализации продукции (работ, услуг) отчетного периода, тыс. сум; стр.010, графа 5</t>
  </si>
  <si>
    <t>Чср - среднесписочная численность сотрудников организации</t>
  </si>
  <si>
    <r>
      <t>Фондоотдача, тыс. сум, Ф</t>
    </r>
    <r>
      <rPr>
        <b/>
        <vertAlign val="subscript"/>
        <sz val="9"/>
        <rFont val="Arial"/>
        <family val="2"/>
      </rPr>
      <t>о</t>
    </r>
    <r>
      <rPr>
        <b/>
        <sz val="9"/>
        <rFont val="Arial"/>
        <family val="2"/>
      </rPr>
      <t>=В</t>
    </r>
    <r>
      <rPr>
        <b/>
        <vertAlign val="subscript"/>
        <sz val="9"/>
        <rFont val="Arial"/>
        <family val="2"/>
      </rPr>
      <t>р</t>
    </r>
    <r>
      <rPr>
        <b/>
        <sz val="9"/>
        <rFont val="Arial"/>
        <family val="2"/>
      </rPr>
      <t>/Ф</t>
    </r>
    <r>
      <rPr>
        <b/>
        <vertAlign val="subscript"/>
        <sz val="9"/>
        <rFont val="Arial"/>
        <family val="2"/>
      </rPr>
      <t>ср</t>
    </r>
  </si>
  <si>
    <r>
      <t>Фср=(Ф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>+Ф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)/2, тыс. сум</t>
    </r>
  </si>
  <si>
    <r>
      <t>Ф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- стоимость основных средств на начало отчетного периода, тыс. сум, стр. 012, графа 3 баланса </t>
    </r>
  </si>
  <si>
    <r>
      <t>Ф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- стоимость основных средств на конец отчетного периода, тыс. сум, стр. 012, графа 4 баланса </t>
    </r>
  </si>
  <si>
    <r>
      <t>Коэффициент текучести кадров, Ктек=Чнач/Чкон</t>
    </r>
    <r>
      <rPr>
        <b/>
        <vertAlign val="subscript"/>
        <sz val="9"/>
        <rFont val="Arial"/>
        <family val="2"/>
      </rPr>
      <t xml:space="preserve"> </t>
    </r>
  </si>
  <si>
    <t>Чнач - численность сотрудников организации на начало периода, согласно информации кадровой службы.</t>
  </si>
  <si>
    <t>Чкон - численность сотрудников организации на конец периода, согласно информации кадровой службы.</t>
  </si>
  <si>
    <t xml:space="preserve">Интегральный коэффициент эффективности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</si>
</sst>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"/>
    <numFmt numFmtId="166" formatCode="0.000"/>
    <numFmt numFmtId="167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vertAlign val="subscript"/>
      <sz val="9"/>
      <name val="Arial"/>
      <family val="2"/>
    </font>
    <font>
      <vertAlign val="subscript"/>
      <sz val="9"/>
      <name val="Arial"/>
      <family val="2"/>
    </font>
    <font>
      <b/>
      <vertAlign val="subscript"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" fontId="3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6" fontId="6" fillId="34" borderId="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  <xf numFmtId="43" fontId="2" fillId="0" borderId="10" xfId="59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66" fontId="6" fillId="34" borderId="10" xfId="0" applyNumberFormat="1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164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34" borderId="15" xfId="52" applyFont="1" applyFill="1" applyBorder="1" applyAlignment="1">
      <alignment horizontal="left" vertical="center"/>
      <protection/>
    </xf>
    <xf numFmtId="0" fontId="3" fillId="34" borderId="16" xfId="52" applyFont="1" applyFill="1" applyBorder="1" applyAlignment="1">
      <alignment horizontal="left" vertical="center"/>
      <protection/>
    </xf>
    <xf numFmtId="0" fontId="3" fillId="34" borderId="11" xfId="52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80;&#1090;&#1077;&#1088;&#1080;&#1080;&#1059;&#1079;&#1053;&#1043;&#1048;&#1085;&#1072;2022&#1075;_&#1092;&#1072;&#1082;&#1090;_4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Баланс"/>
      <sheetName val="Форма2"/>
      <sheetName val="Критерии 1квартал_НС_апрель"/>
      <sheetName val="Критерии 1пол-е_НСиюль"/>
      <sheetName val="Критерии 9месяцевНСоктябрь"/>
      <sheetName val="Критерии год"/>
      <sheetName val="Нормативы по старому"/>
      <sheetName val="Нормативы по новому"/>
      <sheetName val="Удельные веса по 2022"/>
      <sheetName val="Удельные веса по новому"/>
      <sheetName val="Удельные веса по новому1"/>
      <sheetName val="Лист2"/>
      <sheetName val="Критерии год последний"/>
    </sheetNames>
    <sheetDataSet>
      <sheetData sheetId="1">
        <row r="6">
          <cell r="D6">
            <v>843280</v>
          </cell>
          <cell r="F6">
            <v>843280</v>
          </cell>
          <cell r="H6">
            <v>843280.1</v>
          </cell>
          <cell r="J6">
            <v>843280.1</v>
          </cell>
        </row>
        <row r="7">
          <cell r="D7">
            <v>590320</v>
          </cell>
          <cell r="F7">
            <v>613239</v>
          </cell>
          <cell r="H7">
            <v>635298.8</v>
          </cell>
          <cell r="J7">
            <v>656345.5</v>
          </cell>
        </row>
        <row r="8">
          <cell r="C8">
            <v>206319</v>
          </cell>
          <cell r="D8">
            <v>252960</v>
          </cell>
          <cell r="E8">
            <v>206319</v>
          </cell>
          <cell r="F8">
            <v>230041</v>
          </cell>
          <cell r="G8">
            <v>206319</v>
          </cell>
          <cell r="H8">
            <v>207981.29999999993</v>
          </cell>
          <cell r="I8">
            <v>206319</v>
          </cell>
          <cell r="J8">
            <v>186934.59999999998</v>
          </cell>
        </row>
        <row r="23">
          <cell r="C23">
            <v>2525111.7</v>
          </cell>
          <cell r="D23">
            <v>1456577.8</v>
          </cell>
          <cell r="E23">
            <v>2525111.7</v>
          </cell>
          <cell r="F23">
            <v>1761959.3</v>
          </cell>
          <cell r="G23">
            <v>2525111.7</v>
          </cell>
          <cell r="H23">
            <v>979240.8</v>
          </cell>
          <cell r="I23">
            <v>2525112</v>
          </cell>
          <cell r="J23">
            <v>682955.6</v>
          </cell>
        </row>
        <row r="24">
          <cell r="D24">
            <v>52569</v>
          </cell>
          <cell r="F24">
            <v>28627.1</v>
          </cell>
          <cell r="H24">
            <v>204662</v>
          </cell>
          <cell r="J24">
            <v>122619.7</v>
          </cell>
        </row>
        <row r="25">
          <cell r="D25">
            <v>1631010.3</v>
          </cell>
          <cell r="F25">
            <v>1910820.0000000002</v>
          </cell>
          <cell r="H25">
            <v>1302519.5</v>
          </cell>
          <cell r="J25">
            <v>922868.7</v>
          </cell>
        </row>
        <row r="26">
          <cell r="C26">
            <v>2875855.8000000003</v>
          </cell>
          <cell r="D26">
            <v>1883970.3</v>
          </cell>
          <cell r="E26">
            <v>2875855.8000000003</v>
          </cell>
          <cell r="F26">
            <v>2140861</v>
          </cell>
          <cell r="G26">
            <v>2875855.7</v>
          </cell>
          <cell r="H26">
            <v>1510500.7999999998</v>
          </cell>
          <cell r="I26">
            <v>2875856</v>
          </cell>
          <cell r="J26">
            <v>1109803.2999999998</v>
          </cell>
        </row>
        <row r="36">
          <cell r="D36">
            <v>1570535.1</v>
          </cell>
          <cell r="F36">
            <v>1393602</v>
          </cell>
          <cell r="H36">
            <v>1063410.7</v>
          </cell>
          <cell r="J36">
            <v>658445.1</v>
          </cell>
        </row>
        <row r="39">
          <cell r="D39">
            <v>313435.7</v>
          </cell>
          <cell r="F39">
            <v>747258.6</v>
          </cell>
          <cell r="H39">
            <v>447090</v>
          </cell>
          <cell r="J39">
            <v>451358.1</v>
          </cell>
        </row>
        <row r="40">
          <cell r="C40">
            <v>746141.6</v>
          </cell>
          <cell r="D40">
            <v>313435.7</v>
          </cell>
          <cell r="E40">
            <v>746141.6</v>
          </cell>
          <cell r="F40">
            <v>747258.6</v>
          </cell>
          <cell r="G40">
            <v>746141</v>
          </cell>
          <cell r="H40">
            <v>447090</v>
          </cell>
          <cell r="I40">
            <v>746142</v>
          </cell>
          <cell r="J40">
            <v>451358.1</v>
          </cell>
        </row>
        <row r="41">
          <cell r="D41">
            <v>313435.7</v>
          </cell>
          <cell r="F41">
            <v>747258.6</v>
          </cell>
          <cell r="H41">
            <v>447090</v>
          </cell>
          <cell r="J41">
            <v>451358.1</v>
          </cell>
        </row>
      </sheetData>
      <sheetData sheetId="2">
        <row r="5">
          <cell r="C5">
            <v>6015000</v>
          </cell>
          <cell r="D5">
            <v>136470.9</v>
          </cell>
          <cell r="E5">
            <v>1417892</v>
          </cell>
          <cell r="F5">
            <v>1552674</v>
          </cell>
          <cell r="G5">
            <v>1687457</v>
          </cell>
        </row>
        <row r="12">
          <cell r="G12">
            <v>3030533.4</v>
          </cell>
        </row>
        <row r="14">
          <cell r="C14">
            <v>286477</v>
          </cell>
          <cell r="D14">
            <v>-567898.7000000001</v>
          </cell>
          <cell r="E14">
            <v>-477159.3999999999</v>
          </cell>
          <cell r="F14">
            <v>-807350</v>
          </cell>
          <cell r="G14">
            <v>-1212316.4</v>
          </cell>
        </row>
        <row r="16">
          <cell r="C16">
            <v>227789</v>
          </cell>
          <cell r="G16">
            <v>-1212316.4</v>
          </cell>
        </row>
        <row r="17">
          <cell r="C17">
            <v>40000</v>
          </cell>
          <cell r="G17">
            <v>87647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zoomScalePageLayoutView="0" workbookViewId="0" topLeftCell="A25">
      <selection activeCell="L90" sqref="L90"/>
    </sheetView>
  </sheetViews>
  <sheetFormatPr defaultColWidth="9.140625" defaultRowHeight="15"/>
  <cols>
    <col min="1" max="1" width="4.7109375" style="1" customWidth="1"/>
    <col min="2" max="2" width="41.8515625" style="1" customWidth="1"/>
    <col min="3" max="3" width="27.7109375" style="1" customWidth="1"/>
    <col min="4" max="4" width="12.421875" style="1" customWidth="1"/>
    <col min="5" max="5" width="10.8515625" style="2" hidden="1" customWidth="1"/>
    <col min="6" max="6" width="11.28125" style="1" hidden="1" customWidth="1"/>
    <col min="7" max="7" width="10.7109375" style="1" hidden="1" customWidth="1"/>
    <col min="8" max="8" width="12.421875" style="1" hidden="1" customWidth="1"/>
    <col min="9" max="9" width="14.140625" style="1" customWidth="1"/>
    <col min="10" max="10" width="10.8515625" style="1" customWidth="1"/>
    <col min="11" max="11" width="11.57421875" style="1" hidden="1" customWidth="1"/>
    <col min="12" max="12" width="12.8515625" style="1" customWidth="1"/>
    <col min="13" max="13" width="10.8515625" style="1" hidden="1" customWidth="1"/>
    <col min="14" max="14" width="10.57421875" style="1" hidden="1" customWidth="1"/>
    <col min="15" max="15" width="12.421875" style="2" hidden="1" customWidth="1"/>
    <col min="16" max="16" width="12.7109375" style="1" hidden="1" customWidth="1"/>
    <col min="17" max="17" width="12.7109375" style="1" customWidth="1"/>
    <col min="18" max="16384" width="9.140625" style="1" customWidth="1"/>
  </cols>
  <sheetData>
    <row r="1" spans="9:15" ht="15.75" customHeight="1" hidden="1">
      <c r="I1" s="119" t="s">
        <v>0</v>
      </c>
      <c r="J1" s="119"/>
      <c r="K1" s="119"/>
      <c r="L1" s="119"/>
      <c r="M1" s="119"/>
      <c r="N1" s="119"/>
      <c r="O1" s="119"/>
    </row>
    <row r="2" spans="9:15" ht="13.5" customHeight="1" hidden="1">
      <c r="I2" s="119" t="s">
        <v>1</v>
      </c>
      <c r="J2" s="119"/>
      <c r="K2" s="119"/>
      <c r="L2" s="119"/>
      <c r="M2" s="119"/>
      <c r="N2" s="119"/>
      <c r="O2" s="119"/>
    </row>
    <row r="3" spans="9:15" ht="27.75" customHeight="1" hidden="1">
      <c r="I3" s="120" t="s">
        <v>2</v>
      </c>
      <c r="J3" s="120"/>
      <c r="K3" s="120"/>
      <c r="L3" s="120"/>
      <c r="M3" s="120"/>
      <c r="N3" s="120"/>
      <c r="O3" s="120"/>
    </row>
    <row r="4" spans="1:17" ht="12">
      <c r="A4" s="121" t="s">
        <v>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3" t="s">
        <v>4</v>
      </c>
      <c r="Q4" s="3"/>
    </row>
    <row r="5" ht="6" customHeight="1">
      <c r="C5" s="4"/>
    </row>
    <row r="6" spans="1:17" ht="36">
      <c r="A6" s="5" t="s">
        <v>5</v>
      </c>
      <c r="B6" s="122" t="s">
        <v>6</v>
      </c>
      <c r="C6" s="122"/>
      <c r="D6" s="5" t="s">
        <v>7</v>
      </c>
      <c r="E6" s="6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14</v>
      </c>
      <c r="M6" s="5" t="s">
        <v>14</v>
      </c>
      <c r="N6" s="5" t="s">
        <v>14</v>
      </c>
      <c r="O6" s="6" t="s">
        <v>7</v>
      </c>
      <c r="P6" s="7" t="s">
        <v>15</v>
      </c>
      <c r="Q6" s="7" t="s">
        <v>15</v>
      </c>
    </row>
    <row r="7" spans="1:17" ht="26.25" customHeight="1" hidden="1">
      <c r="A7" s="5"/>
      <c r="B7" s="118" t="s">
        <v>16</v>
      </c>
      <c r="C7" s="118"/>
      <c r="D7" s="8"/>
      <c r="E7" s="9"/>
      <c r="F7" s="8"/>
      <c r="G7" s="8"/>
      <c r="H7" s="8"/>
      <c r="I7" s="8"/>
      <c r="J7" s="8"/>
      <c r="K7" s="8"/>
      <c r="L7" s="10"/>
      <c r="M7" s="8"/>
      <c r="N7" s="8"/>
      <c r="O7" s="9"/>
      <c r="P7" s="11"/>
      <c r="Q7" s="12"/>
    </row>
    <row r="8" spans="1:17" ht="13.5" customHeight="1" hidden="1">
      <c r="A8" s="5"/>
      <c r="B8" s="118" t="s">
        <v>17</v>
      </c>
      <c r="C8" s="118"/>
      <c r="D8" s="8"/>
      <c r="E8" s="9"/>
      <c r="F8" s="8"/>
      <c r="G8" s="8"/>
      <c r="H8" s="8"/>
      <c r="I8" s="8"/>
      <c r="J8" s="8"/>
      <c r="K8" s="8"/>
      <c r="L8" s="10"/>
      <c r="M8" s="8"/>
      <c r="N8" s="8"/>
      <c r="O8" s="9"/>
      <c r="P8" s="11"/>
      <c r="Q8" s="12"/>
    </row>
    <row r="9" spans="1:17" ht="26.25" customHeight="1" hidden="1">
      <c r="A9" s="5"/>
      <c r="B9" s="118" t="s">
        <v>18</v>
      </c>
      <c r="C9" s="118"/>
      <c r="D9" s="8"/>
      <c r="E9" s="9"/>
      <c r="F9" s="8"/>
      <c r="G9" s="8"/>
      <c r="H9" s="8"/>
      <c r="I9" s="8"/>
      <c r="J9" s="8"/>
      <c r="K9" s="8"/>
      <c r="L9" s="10"/>
      <c r="M9" s="8"/>
      <c r="N9" s="8"/>
      <c r="O9" s="9"/>
      <c r="P9" s="11"/>
      <c r="Q9" s="12"/>
    </row>
    <row r="10" spans="1:17" ht="13.5" customHeight="1" hidden="1">
      <c r="A10" s="5"/>
      <c r="B10" s="118" t="s">
        <v>19</v>
      </c>
      <c r="C10" s="118"/>
      <c r="D10" s="8"/>
      <c r="E10" s="9"/>
      <c r="F10" s="8"/>
      <c r="G10" s="8"/>
      <c r="H10" s="8"/>
      <c r="I10" s="8"/>
      <c r="J10" s="8"/>
      <c r="K10" s="8"/>
      <c r="L10" s="10"/>
      <c r="M10" s="8"/>
      <c r="N10" s="8"/>
      <c r="O10" s="9"/>
      <c r="P10" s="11"/>
      <c r="Q10" s="12"/>
    </row>
    <row r="11" spans="1:17" ht="12.75" customHeight="1" hidden="1">
      <c r="A11" s="5"/>
      <c r="B11" s="118" t="s">
        <v>20</v>
      </c>
      <c r="C11" s="118"/>
      <c r="D11" s="8"/>
      <c r="E11" s="9"/>
      <c r="F11" s="8"/>
      <c r="G11" s="8"/>
      <c r="H11" s="8"/>
      <c r="I11" s="8"/>
      <c r="J11" s="8"/>
      <c r="K11" s="8"/>
      <c r="L11" s="10"/>
      <c r="M11" s="8"/>
      <c r="N11" s="8"/>
      <c r="O11" s="9"/>
      <c r="P11" s="11"/>
      <c r="Q11" s="12"/>
    </row>
    <row r="12" spans="1:20" ht="12" hidden="1">
      <c r="A12" s="5"/>
      <c r="B12" s="114" t="s">
        <v>16</v>
      </c>
      <c r="C12" s="114"/>
      <c r="D12" s="5">
        <v>2</v>
      </c>
      <c r="E12" s="6"/>
      <c r="F12" s="5"/>
      <c r="G12" s="5"/>
      <c r="H12" s="5"/>
      <c r="I12" s="5">
        <v>246000</v>
      </c>
      <c r="J12" s="5">
        <v>246000</v>
      </c>
      <c r="K12" s="5"/>
      <c r="L12" s="13">
        <f>ROUND(J12/$I$12*100,0)</f>
        <v>100</v>
      </c>
      <c r="M12" s="5"/>
      <c r="N12" s="5"/>
      <c r="O12" s="6"/>
      <c r="P12" s="7"/>
      <c r="Q12" s="14">
        <f>ROUND(L12*D12/100,1)</f>
        <v>2</v>
      </c>
      <c r="R12" s="15"/>
      <c r="S12" s="15"/>
      <c r="T12" s="15"/>
    </row>
    <row r="13" spans="1:20" ht="12" hidden="1">
      <c r="A13" s="5"/>
      <c r="B13" s="114" t="s">
        <v>17</v>
      </c>
      <c r="C13" s="114"/>
      <c r="D13" s="5">
        <v>1</v>
      </c>
      <c r="E13" s="6"/>
      <c r="F13" s="5"/>
      <c r="G13" s="5"/>
      <c r="H13" s="5"/>
      <c r="I13" s="5"/>
      <c r="J13" s="5"/>
      <c r="K13" s="5"/>
      <c r="L13" s="13">
        <f>ROUND(J13/$I$12*100,0)</f>
        <v>0</v>
      </c>
      <c r="M13" s="5"/>
      <c r="N13" s="5"/>
      <c r="O13" s="6"/>
      <c r="P13" s="7"/>
      <c r="Q13" s="14">
        <f>ROUND(L13*D13/100,1)</f>
        <v>0</v>
      </c>
      <c r="R13" s="15"/>
      <c r="S13" s="15"/>
      <c r="T13" s="15"/>
    </row>
    <row r="14" spans="1:21" ht="14.25" customHeight="1" hidden="1">
      <c r="A14" s="5"/>
      <c r="B14" s="114" t="s">
        <v>18</v>
      </c>
      <c r="C14" s="114"/>
      <c r="D14" s="5">
        <v>1</v>
      </c>
      <c r="E14" s="6"/>
      <c r="F14" s="5"/>
      <c r="G14" s="5"/>
      <c r="H14" s="5"/>
      <c r="I14" s="5"/>
      <c r="J14" s="5"/>
      <c r="K14" s="5"/>
      <c r="L14" s="13">
        <f>ROUND(J14/$I$12*100,0)</f>
        <v>0</v>
      </c>
      <c r="M14" s="5"/>
      <c r="N14" s="5"/>
      <c r="O14" s="6"/>
      <c r="P14" s="7"/>
      <c r="Q14" s="14">
        <f>ROUND(L14*D14/100,1)</f>
        <v>0</v>
      </c>
      <c r="R14" s="16"/>
      <c r="S14" s="16"/>
      <c r="T14" s="16"/>
      <c r="U14" s="17"/>
    </row>
    <row r="15" spans="1:20" ht="36.75" customHeight="1" hidden="1">
      <c r="A15" s="5"/>
      <c r="B15" s="114" t="s">
        <v>19</v>
      </c>
      <c r="C15" s="114"/>
      <c r="D15" s="5">
        <v>1</v>
      </c>
      <c r="E15" s="6"/>
      <c r="F15" s="5"/>
      <c r="G15" s="5"/>
      <c r="H15" s="5"/>
      <c r="I15" s="5"/>
      <c r="J15" s="5"/>
      <c r="K15" s="5"/>
      <c r="L15" s="13">
        <f>ROUND(J15/$I$12*100,0)</f>
        <v>0</v>
      </c>
      <c r="M15" s="5"/>
      <c r="N15" s="5"/>
      <c r="O15" s="6"/>
      <c r="P15" s="7"/>
      <c r="Q15" s="14">
        <f>ROUND(L15*D15/100,1)</f>
        <v>0</v>
      </c>
      <c r="R15" s="16"/>
      <c r="S15" s="16"/>
      <c r="T15" s="16"/>
    </row>
    <row r="16" spans="1:20" ht="14.25" customHeight="1" hidden="1">
      <c r="A16" s="5"/>
      <c r="B16" s="114" t="s">
        <v>20</v>
      </c>
      <c r="C16" s="114"/>
      <c r="D16" s="5">
        <v>1</v>
      </c>
      <c r="E16" s="6"/>
      <c r="F16" s="5"/>
      <c r="G16" s="5"/>
      <c r="H16" s="5"/>
      <c r="I16" s="5"/>
      <c r="J16" s="5"/>
      <c r="K16" s="5"/>
      <c r="L16" s="13">
        <f>ROUND(J16/$I$12*100,0)</f>
        <v>0</v>
      </c>
      <c r="M16" s="5"/>
      <c r="N16" s="5"/>
      <c r="O16" s="6"/>
      <c r="P16" s="7"/>
      <c r="Q16" s="14">
        <f>ROUND(L16*D16/100,1)</f>
        <v>0</v>
      </c>
      <c r="R16" s="16"/>
      <c r="S16" s="16"/>
      <c r="T16" s="16"/>
    </row>
    <row r="17" spans="1:20" ht="12">
      <c r="A17" s="18">
        <v>1</v>
      </c>
      <c r="B17" s="115" t="s">
        <v>21</v>
      </c>
      <c r="C17" s="115"/>
      <c r="D17" s="5">
        <v>35</v>
      </c>
      <c r="E17" s="19"/>
      <c r="F17" s="18"/>
      <c r="G17" s="18"/>
      <c r="H17" s="18"/>
      <c r="I17" s="20">
        <f>'[1]Форма2'!C5</f>
        <v>6015000</v>
      </c>
      <c r="J17" s="20">
        <f>'[1]Форма2'!G5</f>
        <v>1687457</v>
      </c>
      <c r="K17" s="18"/>
      <c r="L17" s="21">
        <f>J17/I17*100</f>
        <v>28.054147963424768</v>
      </c>
      <c r="M17" s="5"/>
      <c r="N17" s="5"/>
      <c r="O17" s="5"/>
      <c r="P17" s="6"/>
      <c r="Q17" s="22">
        <f>ROUND(D17*L17/100,2)</f>
        <v>9.82</v>
      </c>
      <c r="R17" s="15"/>
      <c r="S17" s="15"/>
      <c r="T17" s="15"/>
    </row>
    <row r="18" spans="1:20" ht="12">
      <c r="A18" s="18">
        <v>2</v>
      </c>
      <c r="B18" s="116" t="s">
        <v>22</v>
      </c>
      <c r="C18" s="117"/>
      <c r="D18" s="5">
        <v>20</v>
      </c>
      <c r="E18" s="19"/>
      <c r="F18" s="18"/>
      <c r="G18" s="18"/>
      <c r="H18" s="18"/>
      <c r="I18" s="20">
        <f>'[1]Форма2'!C16</f>
        <v>227789</v>
      </c>
      <c r="J18" s="20">
        <f>'[1]Форма2'!G16</f>
        <v>-1212316.4</v>
      </c>
      <c r="K18" s="18"/>
      <c r="L18" s="21">
        <v>0</v>
      </c>
      <c r="M18" s="5"/>
      <c r="N18" s="5"/>
      <c r="O18" s="5"/>
      <c r="P18" s="6"/>
      <c r="Q18" s="22">
        <f>ROUND(L18*D18/100,2)</f>
        <v>0</v>
      </c>
      <c r="R18" s="15"/>
      <c r="S18" s="15"/>
      <c r="T18" s="15"/>
    </row>
    <row r="19" spans="1:17" ht="14.25" customHeight="1">
      <c r="A19" s="5">
        <v>3</v>
      </c>
      <c r="B19" s="114" t="s">
        <v>23</v>
      </c>
      <c r="C19" s="114"/>
      <c r="D19" s="23">
        <v>15</v>
      </c>
      <c r="E19" s="24">
        <f>E20/E21</f>
        <v>-0.23862161686957428</v>
      </c>
      <c r="F19" s="25">
        <f>F20/F21</f>
        <v>-0.1902277601159387</v>
      </c>
      <c r="G19" s="25">
        <f>G20/G21</f>
        <v>-0.36811873362322467</v>
      </c>
      <c r="H19" s="25">
        <f>H20/H21</f>
        <v>-1.0134666553159724</v>
      </c>
      <c r="I19" s="26">
        <v>0.057</v>
      </c>
      <c r="J19" s="25">
        <f>J20/J21</f>
        <v>-0.608339202500324</v>
      </c>
      <c r="K19" s="13">
        <f>ROUND(E19/$I$19*100,0)</f>
        <v>-419</v>
      </c>
      <c r="L19" s="13">
        <f>ROUND(J19/I19*100,0)</f>
        <v>-1067</v>
      </c>
      <c r="M19" s="13">
        <f>ROUND(G19/$I$19*100,0)</f>
        <v>-646</v>
      </c>
      <c r="N19" s="13">
        <f>ROUND(H19/$I$19*100,0)</f>
        <v>-1778</v>
      </c>
      <c r="O19" s="27">
        <f>ROUND(15/0.87,1)</f>
        <v>17.2</v>
      </c>
      <c r="P19" s="22">
        <f aca="true" t="shared" si="0" ref="P19:P31">ROUND($O19*K19/100,2)</f>
        <v>-72.07</v>
      </c>
      <c r="Q19" s="14">
        <f>ROUND(D19*L19/100,1)</f>
        <v>-160.1</v>
      </c>
    </row>
    <row r="20" spans="1:17" ht="47.25" customHeight="1">
      <c r="A20" s="28"/>
      <c r="B20" s="103" t="s">
        <v>24</v>
      </c>
      <c r="C20" s="103"/>
      <c r="D20" s="23"/>
      <c r="E20" s="29">
        <f>'[1]Форма2'!D14</f>
        <v>-567898.7000000001</v>
      </c>
      <c r="F20" s="30">
        <f>'[1]Форма2'!E14</f>
        <v>-477159.3999999999</v>
      </c>
      <c r="G20" s="30">
        <f>'[1]Форма2'!F14</f>
        <v>-807350</v>
      </c>
      <c r="H20" s="30">
        <f>'[1]Форма2'!G14+G20</f>
        <v>-2019666.4</v>
      </c>
      <c r="I20" s="31"/>
      <c r="J20" s="30">
        <f>'[1]Форма2'!G14</f>
        <v>-1212316.4</v>
      </c>
      <c r="K20" s="22"/>
      <c r="L20" s="22"/>
      <c r="M20" s="22"/>
      <c r="N20" s="22"/>
      <c r="O20" s="32"/>
      <c r="P20" s="22">
        <f t="shared" si="0"/>
        <v>0</v>
      </c>
      <c r="Q20" s="14"/>
    </row>
    <row r="21" spans="1:17" ht="14.25" customHeight="1">
      <c r="A21" s="28"/>
      <c r="B21" s="95" t="s">
        <v>25</v>
      </c>
      <c r="C21" s="95"/>
      <c r="D21" s="23"/>
      <c r="E21" s="29">
        <f>(E22+E23)/2</f>
        <v>2379913.0500000003</v>
      </c>
      <c r="F21" s="33">
        <f>(F22+F23)/2</f>
        <v>2508358.4000000004</v>
      </c>
      <c r="G21" s="33">
        <f>(G22+G23)/2</f>
        <v>2193178.25</v>
      </c>
      <c r="H21" s="33">
        <f>(H22+H23)/2</f>
        <v>1992829.65</v>
      </c>
      <c r="I21" s="31"/>
      <c r="J21" s="33">
        <f>(J22+J23)/2</f>
        <v>1992829.65</v>
      </c>
      <c r="K21" s="22"/>
      <c r="L21" s="22"/>
      <c r="M21" s="22"/>
      <c r="N21" s="22"/>
      <c r="O21" s="32"/>
      <c r="P21" s="22">
        <f t="shared" si="0"/>
        <v>0</v>
      </c>
      <c r="Q21" s="14"/>
    </row>
    <row r="22" spans="1:17" ht="25.5" customHeight="1">
      <c r="A22" s="28"/>
      <c r="B22" s="103" t="s">
        <v>26</v>
      </c>
      <c r="C22" s="103"/>
      <c r="D22" s="23"/>
      <c r="E22" s="29">
        <f>'[1]Баланс'!C26</f>
        <v>2875855.8000000003</v>
      </c>
      <c r="F22" s="33">
        <f>'[1]Баланс'!E26</f>
        <v>2875855.8000000003</v>
      </c>
      <c r="G22" s="30">
        <f>'[1]Баланс'!G26</f>
        <v>2875855.7</v>
      </c>
      <c r="H22" s="33">
        <f>'[1]Баланс'!I26</f>
        <v>2875856</v>
      </c>
      <c r="I22" s="31"/>
      <c r="J22" s="33">
        <f>'[1]Баланс'!I26</f>
        <v>2875856</v>
      </c>
      <c r="K22" s="22"/>
      <c r="L22" s="22"/>
      <c r="M22" s="22"/>
      <c r="N22" s="22"/>
      <c r="O22" s="32"/>
      <c r="P22" s="22">
        <f t="shared" si="0"/>
        <v>0</v>
      </c>
      <c r="Q22" s="14"/>
    </row>
    <row r="23" spans="1:17" ht="24" customHeight="1">
      <c r="A23" s="28"/>
      <c r="B23" s="95" t="s">
        <v>27</v>
      </c>
      <c r="C23" s="95"/>
      <c r="D23" s="23"/>
      <c r="E23" s="29">
        <f>'[1]Баланс'!D26</f>
        <v>1883970.3</v>
      </c>
      <c r="F23" s="30">
        <f>'[1]Баланс'!F26</f>
        <v>2140861</v>
      </c>
      <c r="G23" s="30">
        <f>'[1]Баланс'!H26</f>
        <v>1510500.7999999998</v>
      </c>
      <c r="H23" s="30">
        <f>'[1]Баланс'!J26</f>
        <v>1109803.2999999998</v>
      </c>
      <c r="I23" s="31"/>
      <c r="J23" s="33">
        <f>'[1]Баланс'!J26</f>
        <v>1109803.2999999998</v>
      </c>
      <c r="K23" s="22"/>
      <c r="L23" s="22"/>
      <c r="M23" s="22"/>
      <c r="N23" s="22"/>
      <c r="O23" s="32"/>
      <c r="P23" s="22">
        <f t="shared" si="0"/>
        <v>0</v>
      </c>
      <c r="Q23" s="14"/>
    </row>
    <row r="24" spans="1:17" ht="18.75" customHeight="1">
      <c r="A24" s="5">
        <v>4</v>
      </c>
      <c r="B24" s="104" t="s">
        <v>28</v>
      </c>
      <c r="C24" s="104"/>
      <c r="D24" s="23">
        <v>16</v>
      </c>
      <c r="E24" s="24">
        <f>E25/(E26-E27)</f>
        <v>5.010709054520593</v>
      </c>
      <c r="F24" s="25">
        <f>F25/(F26-F27)</f>
        <v>1.8649527753845858</v>
      </c>
      <c r="G24" s="25">
        <f>G25/(G26-G27)</f>
        <v>2.3785159587555076</v>
      </c>
      <c r="H24" s="25">
        <f>H25/(H26-H27)</f>
        <v>1.458808648831161</v>
      </c>
      <c r="I24" s="34">
        <v>1.4</v>
      </c>
      <c r="J24" s="35">
        <f>ROUND(J25/J26,2)</f>
        <v>1.46</v>
      </c>
      <c r="K24" s="13">
        <f>ROUND(E24/$I$24*100,0)</f>
        <v>358</v>
      </c>
      <c r="L24" s="13">
        <f>ROUND(J24/I24*100,0)</f>
        <v>104</v>
      </c>
      <c r="M24" s="13">
        <f>ROUND(G24/$I$24*100,0)</f>
        <v>170</v>
      </c>
      <c r="N24" s="13">
        <f>ROUND(H24/$I$24*100,0)</f>
        <v>104</v>
      </c>
      <c r="O24" s="27">
        <f>ROUND(12/0.87,1)</f>
        <v>13.8</v>
      </c>
      <c r="P24" s="22">
        <f t="shared" si="0"/>
        <v>49.4</v>
      </c>
      <c r="Q24" s="14">
        <f>ROUND(D24*L24/100,1)</f>
        <v>16.6</v>
      </c>
    </row>
    <row r="25" spans="1:17" ht="25.5" customHeight="1">
      <c r="A25" s="36"/>
      <c r="B25" s="103" t="s">
        <v>29</v>
      </c>
      <c r="C25" s="103"/>
      <c r="D25" s="23"/>
      <c r="E25" s="29">
        <f>'[1]Баланс'!D36</f>
        <v>1570535.1</v>
      </c>
      <c r="F25" s="33">
        <f>'[1]Баланс'!F36</f>
        <v>1393602</v>
      </c>
      <c r="G25" s="33">
        <f>'[1]Баланс'!H36</f>
        <v>1063410.7</v>
      </c>
      <c r="H25" s="33">
        <f>'[1]Баланс'!J36</f>
        <v>658445.1</v>
      </c>
      <c r="I25" s="31"/>
      <c r="J25" s="33">
        <f>'[1]Баланс'!J36</f>
        <v>658445.1</v>
      </c>
      <c r="K25" s="31"/>
      <c r="L25" s="31"/>
      <c r="M25" s="31"/>
      <c r="N25" s="31"/>
      <c r="O25" s="32"/>
      <c r="P25" s="22">
        <f t="shared" si="0"/>
        <v>0</v>
      </c>
      <c r="Q25" s="14"/>
    </row>
    <row r="26" spans="1:17" ht="15" customHeight="1">
      <c r="A26" s="36"/>
      <c r="B26" s="103" t="s">
        <v>30</v>
      </c>
      <c r="C26" s="103"/>
      <c r="D26" s="23"/>
      <c r="E26" s="29">
        <f>'[1]Баланс'!D41</f>
        <v>313435.7</v>
      </c>
      <c r="F26" s="30">
        <f>'[1]Баланс'!F41</f>
        <v>747258.6</v>
      </c>
      <c r="G26" s="30">
        <f>'[1]Баланс'!H41</f>
        <v>447090</v>
      </c>
      <c r="H26" s="30">
        <f>'[1]Баланс'!J41</f>
        <v>451358.1</v>
      </c>
      <c r="I26" s="31"/>
      <c r="J26" s="33">
        <f>'[1]Баланс'!J41</f>
        <v>451358.1</v>
      </c>
      <c r="K26" s="37"/>
      <c r="L26" s="31"/>
      <c r="M26" s="31"/>
      <c r="N26" s="31"/>
      <c r="O26" s="32"/>
      <c r="P26" s="22">
        <f t="shared" si="0"/>
        <v>0</v>
      </c>
      <c r="Q26" s="14"/>
    </row>
    <row r="27" spans="1:17" ht="12.75" customHeight="1">
      <c r="A27" s="36"/>
      <c r="B27" s="95" t="s">
        <v>31</v>
      </c>
      <c r="C27" s="95"/>
      <c r="D27" s="23"/>
      <c r="E27" s="29">
        <f>'[1]Баланс'!D38</f>
        <v>0</v>
      </c>
      <c r="F27" s="33">
        <f>'[1]Баланс'!F38</f>
        <v>0</v>
      </c>
      <c r="G27" s="33">
        <f>'[1]Баланс'!H38</f>
        <v>0</v>
      </c>
      <c r="H27" s="33">
        <f>'[1]Баланс'!J38</f>
        <v>0</v>
      </c>
      <c r="I27" s="31"/>
      <c r="J27" s="33">
        <v>0</v>
      </c>
      <c r="K27" s="37"/>
      <c r="L27" s="31"/>
      <c r="M27" s="31"/>
      <c r="N27" s="31"/>
      <c r="O27" s="32"/>
      <c r="P27" s="22">
        <f t="shared" si="0"/>
        <v>0</v>
      </c>
      <c r="Q27" s="14"/>
    </row>
    <row r="28" spans="1:17" ht="16.5" customHeight="1">
      <c r="A28" s="5">
        <v>5</v>
      </c>
      <c r="B28" s="104" t="s">
        <v>32</v>
      </c>
      <c r="C28" s="104"/>
      <c r="D28" s="23">
        <v>14</v>
      </c>
      <c r="E28" s="24">
        <f>E29/(E30-E31)</f>
        <v>5.203651977104076</v>
      </c>
      <c r="F28" s="25">
        <f>F29/(F30-F31)</f>
        <v>2.557106736543414</v>
      </c>
      <c r="G28" s="25">
        <f>G29/(G30-G31)</f>
        <v>2.9133272942807937</v>
      </c>
      <c r="H28" s="25">
        <f>H29/(H30-H31)</f>
        <v>2.044648583907102</v>
      </c>
      <c r="I28" s="7">
        <v>1.25</v>
      </c>
      <c r="J28" s="35">
        <f>ROUND(J29/J30,2)</f>
        <v>2.04</v>
      </c>
      <c r="K28" s="38">
        <f>ROUND(E28/$I$28*100,0)</f>
        <v>416</v>
      </c>
      <c r="L28" s="13">
        <f>ROUND(J28/I28*100,0)</f>
        <v>163</v>
      </c>
      <c r="M28" s="13">
        <f>ROUND(G28/$I$28*100,0)</f>
        <v>233</v>
      </c>
      <c r="N28" s="13">
        <f>ROUND(H28/$I$28*100,0)</f>
        <v>164</v>
      </c>
      <c r="O28" s="27">
        <f>ROUND(13/0.87,1)</f>
        <v>14.9</v>
      </c>
      <c r="P28" s="22">
        <f t="shared" si="0"/>
        <v>61.98</v>
      </c>
      <c r="Q28" s="14">
        <f>ROUND(D28*L28/100,1)</f>
        <v>22.8</v>
      </c>
    </row>
    <row r="29" spans="1:17" ht="14.25" customHeight="1">
      <c r="A29" s="36"/>
      <c r="B29" s="103" t="s">
        <v>33</v>
      </c>
      <c r="C29" s="103"/>
      <c r="D29" s="14"/>
      <c r="E29" s="29">
        <f>'[1]Баланс'!D25</f>
        <v>1631010.3</v>
      </c>
      <c r="F29" s="30">
        <f>'[1]Баланс'!F25</f>
        <v>1910820.0000000002</v>
      </c>
      <c r="G29" s="30">
        <f>'[1]Баланс'!H25</f>
        <v>1302519.5</v>
      </c>
      <c r="H29" s="30">
        <f>'[1]Баланс'!J25</f>
        <v>922868.7</v>
      </c>
      <c r="I29" s="31"/>
      <c r="J29" s="33">
        <f>'[1]Баланс'!J25</f>
        <v>922868.7</v>
      </c>
      <c r="K29" s="37"/>
      <c r="L29" s="31"/>
      <c r="M29" s="31"/>
      <c r="N29" s="31"/>
      <c r="O29" s="39"/>
      <c r="P29" s="22">
        <f t="shared" si="0"/>
        <v>0</v>
      </c>
      <c r="Q29" s="14"/>
    </row>
    <row r="30" spans="1:17" ht="14.25" customHeight="1">
      <c r="A30" s="36"/>
      <c r="B30" s="103" t="s">
        <v>34</v>
      </c>
      <c r="C30" s="103"/>
      <c r="D30" s="14"/>
      <c r="E30" s="29">
        <f>'[1]Баланс'!D41</f>
        <v>313435.7</v>
      </c>
      <c r="F30" s="30">
        <f>'[1]Баланс'!F41</f>
        <v>747258.6</v>
      </c>
      <c r="G30" s="30">
        <f>'[1]Баланс'!H41</f>
        <v>447090</v>
      </c>
      <c r="H30" s="30">
        <f>'[1]Баланс'!J41</f>
        <v>451358.1</v>
      </c>
      <c r="I30" s="31"/>
      <c r="J30" s="33">
        <f>'[1]Баланс'!J41</f>
        <v>451358.1</v>
      </c>
      <c r="K30" s="37"/>
      <c r="L30" s="31"/>
      <c r="M30" s="31"/>
      <c r="N30" s="31"/>
      <c r="O30" s="39"/>
      <c r="P30" s="22">
        <f t="shared" si="0"/>
        <v>0</v>
      </c>
      <c r="Q30" s="14"/>
    </row>
    <row r="31" spans="1:17" ht="14.25" customHeight="1">
      <c r="A31" s="36"/>
      <c r="B31" s="103" t="s">
        <v>35</v>
      </c>
      <c r="C31" s="103"/>
      <c r="D31" s="14"/>
      <c r="E31" s="29">
        <f>'[1]Баланс'!D38</f>
        <v>0</v>
      </c>
      <c r="F31" s="33">
        <f>'[1]Баланс'!F38</f>
        <v>0</v>
      </c>
      <c r="G31" s="33">
        <f>'[1]Баланс'!H38</f>
        <v>0</v>
      </c>
      <c r="H31" s="33">
        <f>'[1]Баланс'!J38</f>
        <v>0</v>
      </c>
      <c r="I31" s="31"/>
      <c r="J31" s="33">
        <v>0</v>
      </c>
      <c r="K31" s="31"/>
      <c r="L31" s="31"/>
      <c r="M31" s="31"/>
      <c r="N31" s="31"/>
      <c r="O31" s="39"/>
      <c r="P31" s="22">
        <f t="shared" si="0"/>
        <v>0</v>
      </c>
      <c r="Q31" s="14"/>
    </row>
    <row r="32" spans="1:17" ht="13.5" customHeight="1" hidden="1">
      <c r="A32" s="5">
        <v>6</v>
      </c>
      <c r="B32" s="104" t="s">
        <v>36</v>
      </c>
      <c r="C32" s="104"/>
      <c r="D32" s="40"/>
      <c r="E32" s="41"/>
      <c r="F32" s="42"/>
      <c r="G32" s="42"/>
      <c r="H32" s="43" t="e">
        <f>#REF!/H38</f>
        <v>#REF!</v>
      </c>
      <c r="I32" s="44">
        <v>0.5</v>
      </c>
      <c r="J32" s="45">
        <f>J33/J34</f>
        <v>0</v>
      </c>
      <c r="K32" s="42"/>
      <c r="L32" s="46">
        <f>ROUND(J32/I32*100,2)</f>
        <v>0</v>
      </c>
      <c r="M32" s="47">
        <v>0</v>
      </c>
      <c r="N32" s="47">
        <v>0</v>
      </c>
      <c r="O32" s="48" t="e">
        <f>ROUND(H32/$I$71*100,0)</f>
        <v>#REF!</v>
      </c>
      <c r="P32" s="49">
        <v>0</v>
      </c>
      <c r="Q32" s="50">
        <f>ROUND(D32*L32/100,2)</f>
        <v>0</v>
      </c>
    </row>
    <row r="33" spans="1:17" ht="26.25" customHeight="1" hidden="1">
      <c r="A33" s="5"/>
      <c r="B33" s="95" t="s">
        <v>37</v>
      </c>
      <c r="C33" s="95"/>
      <c r="D33" s="23"/>
      <c r="E33" s="51"/>
      <c r="F33" s="52"/>
      <c r="G33" s="52"/>
      <c r="H33" s="53"/>
      <c r="I33" s="22"/>
      <c r="J33" s="54">
        <v>0</v>
      </c>
      <c r="K33" s="52"/>
      <c r="L33" s="22"/>
      <c r="M33" s="15"/>
      <c r="N33" s="15"/>
      <c r="O33" s="55"/>
      <c r="P33" s="56"/>
      <c r="Q33" s="14"/>
    </row>
    <row r="34" spans="1:17" ht="15.75" customHeight="1" hidden="1">
      <c r="A34" s="5"/>
      <c r="B34" s="95" t="s">
        <v>38</v>
      </c>
      <c r="C34" s="95"/>
      <c r="D34" s="23"/>
      <c r="E34" s="51"/>
      <c r="F34" s="52"/>
      <c r="G34" s="52"/>
      <c r="H34" s="53"/>
      <c r="I34" s="22"/>
      <c r="J34" s="54">
        <f>ROUND(J35/J37,3)</f>
        <v>-1.97</v>
      </c>
      <c r="K34" s="52"/>
      <c r="L34" s="22"/>
      <c r="M34" s="15"/>
      <c r="N34" s="15"/>
      <c r="O34" s="55"/>
      <c r="P34" s="56"/>
      <c r="Q34" s="14"/>
    </row>
    <row r="35" spans="1:17" ht="26.25" customHeight="1" hidden="1">
      <c r="A35" s="5"/>
      <c r="B35" s="95" t="s">
        <v>39</v>
      </c>
      <c r="C35" s="95"/>
      <c r="D35" s="23"/>
      <c r="E35" s="51"/>
      <c r="F35" s="52"/>
      <c r="G35" s="52"/>
      <c r="H35" s="53"/>
      <c r="I35" s="22"/>
      <c r="J35" s="57">
        <f>'[1]Форма2'!G16</f>
        <v>-1212316.4</v>
      </c>
      <c r="K35" s="52"/>
      <c r="L35" s="22"/>
      <c r="M35" s="15"/>
      <c r="N35" s="15"/>
      <c r="O35" s="55"/>
      <c r="P35" s="56"/>
      <c r="Q35" s="14"/>
    </row>
    <row r="36" spans="1:17" ht="13.5" customHeight="1" hidden="1">
      <c r="A36" s="5"/>
      <c r="B36" s="95" t="s">
        <v>40</v>
      </c>
      <c r="C36" s="95"/>
      <c r="D36" s="23"/>
      <c r="E36" s="51"/>
      <c r="F36" s="52"/>
      <c r="G36" s="52"/>
      <c r="H36" s="53"/>
      <c r="I36" s="22"/>
      <c r="J36" s="58">
        <v>0</v>
      </c>
      <c r="K36" s="52"/>
      <c r="L36" s="22"/>
      <c r="M36" s="15"/>
      <c r="N36" s="15"/>
      <c r="O36" s="55"/>
      <c r="P36" s="56"/>
      <c r="Q36" s="14"/>
    </row>
    <row r="37" spans="1:17" ht="26.25" customHeight="1" hidden="1">
      <c r="A37" s="5"/>
      <c r="B37" s="95" t="s">
        <v>41</v>
      </c>
      <c r="C37" s="95"/>
      <c r="D37" s="23"/>
      <c r="E37" s="51"/>
      <c r="F37" s="52"/>
      <c r="G37" s="52"/>
      <c r="H37" s="53"/>
      <c r="I37" s="22"/>
      <c r="J37" s="58">
        <v>615323</v>
      </c>
      <c r="K37" s="52"/>
      <c r="L37" s="22"/>
      <c r="M37" s="15"/>
      <c r="N37" s="15"/>
      <c r="O37" s="55"/>
      <c r="P37" s="56"/>
      <c r="Q37" s="14"/>
    </row>
    <row r="38" spans="1:18" ht="12">
      <c r="A38" s="5"/>
      <c r="B38" s="96" t="s">
        <v>42</v>
      </c>
      <c r="C38" s="98"/>
      <c r="D38" s="23">
        <f>SUM(D17:D37)</f>
        <v>100</v>
      </c>
      <c r="E38" s="29"/>
      <c r="F38" s="30"/>
      <c r="G38" s="30"/>
      <c r="H38" s="30"/>
      <c r="I38" s="22"/>
      <c r="J38" s="30"/>
      <c r="K38" s="13"/>
      <c r="L38" s="13"/>
      <c r="M38" s="13"/>
      <c r="N38" s="13"/>
      <c r="O38" s="27">
        <f>SUM(O19:O31)</f>
        <v>45.9</v>
      </c>
      <c r="P38" s="22">
        <f>SUM(P19:P37)</f>
        <v>39.31</v>
      </c>
      <c r="Q38" s="23">
        <f>Q19+Q17+Q24+Q28</f>
        <v>-110.88000000000001</v>
      </c>
      <c r="R38" s="59"/>
    </row>
    <row r="39" spans="1:17" ht="24" customHeight="1">
      <c r="A39" s="111" t="s">
        <v>43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3"/>
    </row>
    <row r="40" spans="1:20" ht="23.25" customHeight="1">
      <c r="A40" s="18">
        <v>1</v>
      </c>
      <c r="B40" s="109" t="s">
        <v>44</v>
      </c>
      <c r="C40" s="110"/>
      <c r="D40" s="5">
        <v>2</v>
      </c>
      <c r="E40" s="19"/>
      <c r="F40" s="18"/>
      <c r="G40" s="18"/>
      <c r="H40" s="18"/>
      <c r="I40" s="61">
        <f>'[1]Форма2'!C14</f>
        <v>286477</v>
      </c>
      <c r="J40" s="61">
        <f>'[1]Форма2'!G14</f>
        <v>-1212316.4</v>
      </c>
      <c r="K40" s="18"/>
      <c r="L40" s="21">
        <v>0</v>
      </c>
      <c r="M40" s="5"/>
      <c r="N40" s="5"/>
      <c r="O40" s="5"/>
      <c r="P40" s="6"/>
      <c r="Q40" s="22">
        <f>ROUND(D40*L40/100,2)</f>
        <v>0</v>
      </c>
      <c r="R40" s="15"/>
      <c r="S40" s="15"/>
      <c r="T40" s="15"/>
    </row>
    <row r="41" spans="1:20" ht="12" hidden="1">
      <c r="A41" s="18"/>
      <c r="B41" s="106" t="s">
        <v>45</v>
      </c>
      <c r="C41" s="106"/>
      <c r="D41" s="5"/>
      <c r="E41" s="19"/>
      <c r="F41" s="18"/>
      <c r="G41" s="18"/>
      <c r="H41" s="18"/>
      <c r="I41" s="5"/>
      <c r="J41" s="18"/>
      <c r="K41" s="18"/>
      <c r="L41" s="5"/>
      <c r="M41" s="5"/>
      <c r="N41" s="5"/>
      <c r="O41" s="5"/>
      <c r="P41" s="6"/>
      <c r="Q41" s="22"/>
      <c r="R41" s="15"/>
      <c r="S41" s="15"/>
      <c r="T41" s="15"/>
    </row>
    <row r="42" spans="1:20" ht="12" hidden="1">
      <c r="A42" s="18"/>
      <c r="B42" s="106" t="s">
        <v>46</v>
      </c>
      <c r="C42" s="106"/>
      <c r="D42" s="5"/>
      <c r="E42" s="19"/>
      <c r="F42" s="18"/>
      <c r="G42" s="18"/>
      <c r="H42" s="18"/>
      <c r="I42" s="5"/>
      <c r="J42" s="18"/>
      <c r="K42" s="18"/>
      <c r="L42" s="5"/>
      <c r="M42" s="5"/>
      <c r="N42" s="5"/>
      <c r="O42" s="5"/>
      <c r="P42" s="6"/>
      <c r="Q42" s="22"/>
      <c r="R42" s="15"/>
      <c r="S42" s="15"/>
      <c r="T42" s="15"/>
    </row>
    <row r="43" spans="1:20" ht="12" hidden="1">
      <c r="A43" s="18"/>
      <c r="B43" s="106" t="s">
        <v>47</v>
      </c>
      <c r="C43" s="106"/>
      <c r="D43" s="5"/>
      <c r="E43" s="19"/>
      <c r="F43" s="18"/>
      <c r="G43" s="18"/>
      <c r="H43" s="18"/>
      <c r="I43" s="5"/>
      <c r="J43" s="18"/>
      <c r="K43" s="18"/>
      <c r="L43" s="5"/>
      <c r="M43" s="5"/>
      <c r="N43" s="5"/>
      <c r="O43" s="5"/>
      <c r="P43" s="6"/>
      <c r="Q43" s="22"/>
      <c r="R43" s="15"/>
      <c r="S43" s="15"/>
      <c r="T43" s="15"/>
    </row>
    <row r="44" spans="1:20" ht="12" hidden="1">
      <c r="A44" s="18"/>
      <c r="B44" s="106" t="s">
        <v>48</v>
      </c>
      <c r="C44" s="106"/>
      <c r="D44" s="5"/>
      <c r="E44" s="19"/>
      <c r="F44" s="18"/>
      <c r="G44" s="18"/>
      <c r="H44" s="18"/>
      <c r="I44" s="5"/>
      <c r="J44" s="18"/>
      <c r="K44" s="18"/>
      <c r="L44" s="5"/>
      <c r="M44" s="5"/>
      <c r="N44" s="5"/>
      <c r="O44" s="5"/>
      <c r="P44" s="6"/>
      <c r="Q44" s="22"/>
      <c r="R44" s="15"/>
      <c r="S44" s="15"/>
      <c r="T44" s="15"/>
    </row>
    <row r="45" spans="1:20" ht="12" hidden="1">
      <c r="A45" s="18"/>
      <c r="B45" s="106" t="s">
        <v>49</v>
      </c>
      <c r="C45" s="106"/>
      <c r="D45" s="5"/>
      <c r="E45" s="19"/>
      <c r="F45" s="18"/>
      <c r="G45" s="18"/>
      <c r="H45" s="18"/>
      <c r="I45" s="5"/>
      <c r="J45" s="18"/>
      <c r="K45" s="18"/>
      <c r="L45" s="5"/>
      <c r="M45" s="5"/>
      <c r="N45" s="5"/>
      <c r="O45" s="5"/>
      <c r="P45" s="6"/>
      <c r="Q45" s="22"/>
      <c r="R45" s="15"/>
      <c r="S45" s="15"/>
      <c r="T45" s="15"/>
    </row>
    <row r="46" spans="1:20" ht="12" hidden="1">
      <c r="A46" s="18"/>
      <c r="B46" s="106" t="s">
        <v>50</v>
      </c>
      <c r="C46" s="106"/>
      <c r="D46" s="5"/>
      <c r="E46" s="19"/>
      <c r="F46" s="18"/>
      <c r="G46" s="18"/>
      <c r="H46" s="18"/>
      <c r="I46" s="5"/>
      <c r="J46" s="18"/>
      <c r="K46" s="18"/>
      <c r="L46" s="5"/>
      <c r="M46" s="5"/>
      <c r="N46" s="5"/>
      <c r="O46" s="5"/>
      <c r="P46" s="6"/>
      <c r="Q46" s="22"/>
      <c r="R46" s="15"/>
      <c r="S46" s="15"/>
      <c r="T46" s="15"/>
    </row>
    <row r="47" spans="1:20" ht="47.25" customHeight="1">
      <c r="A47" s="18">
        <v>2</v>
      </c>
      <c r="B47" s="109" t="s">
        <v>51</v>
      </c>
      <c r="C47" s="110"/>
      <c r="D47" s="5">
        <v>2</v>
      </c>
      <c r="E47" s="19"/>
      <c r="F47" s="18"/>
      <c r="G47" s="18"/>
      <c r="H47" s="18"/>
      <c r="I47" s="61">
        <f>'[1]Форма2'!C14+'[1]Форма2'!C17</f>
        <v>326477</v>
      </c>
      <c r="J47" s="61">
        <f>'[1]Форма2'!G14+'[1]Форма2'!G17</f>
        <v>-1124669.4</v>
      </c>
      <c r="K47" s="18"/>
      <c r="L47" s="21">
        <v>0</v>
      </c>
      <c r="M47" s="5"/>
      <c r="N47" s="5"/>
      <c r="O47" s="5"/>
      <c r="P47" s="6"/>
      <c r="Q47" s="22">
        <f>ROUND(D47*L47/100,2)</f>
        <v>0</v>
      </c>
      <c r="R47" s="15"/>
      <c r="S47" s="15"/>
      <c r="T47" s="15"/>
    </row>
    <row r="48" spans="1:20" ht="12">
      <c r="A48" s="18"/>
      <c r="B48" s="106" t="s">
        <v>45</v>
      </c>
      <c r="C48" s="106"/>
      <c r="D48" s="5"/>
      <c r="E48" s="19"/>
      <c r="F48" s="18"/>
      <c r="G48" s="18"/>
      <c r="H48" s="18"/>
      <c r="I48" s="5"/>
      <c r="J48" s="18"/>
      <c r="K48" s="18"/>
      <c r="L48" s="5"/>
      <c r="M48" s="5"/>
      <c r="N48" s="5"/>
      <c r="O48" s="5"/>
      <c r="P48" s="6"/>
      <c r="Q48" s="22"/>
      <c r="R48" s="15"/>
      <c r="S48" s="15"/>
      <c r="T48" s="15"/>
    </row>
    <row r="49" spans="1:20" ht="12">
      <c r="A49" s="18"/>
      <c r="B49" s="106" t="s">
        <v>46</v>
      </c>
      <c r="C49" s="106"/>
      <c r="D49" s="5"/>
      <c r="E49" s="19"/>
      <c r="F49" s="18"/>
      <c r="G49" s="18"/>
      <c r="H49" s="18"/>
      <c r="I49" s="5"/>
      <c r="J49" s="18"/>
      <c r="K49" s="18"/>
      <c r="L49" s="5"/>
      <c r="M49" s="5"/>
      <c r="N49" s="5"/>
      <c r="O49" s="5"/>
      <c r="P49" s="6"/>
      <c r="Q49" s="22"/>
      <c r="R49" s="15"/>
      <c r="S49" s="15"/>
      <c r="T49" s="15"/>
    </row>
    <row r="50" spans="1:20" ht="12">
      <c r="A50" s="18"/>
      <c r="B50" s="106" t="s">
        <v>47</v>
      </c>
      <c r="C50" s="106"/>
      <c r="D50" s="5"/>
      <c r="E50" s="19"/>
      <c r="F50" s="18"/>
      <c r="G50" s="18"/>
      <c r="H50" s="18"/>
      <c r="I50" s="5"/>
      <c r="J50" s="18"/>
      <c r="K50" s="18"/>
      <c r="L50" s="5"/>
      <c r="M50" s="5"/>
      <c r="N50" s="5"/>
      <c r="O50" s="5"/>
      <c r="P50" s="6"/>
      <c r="Q50" s="22"/>
      <c r="R50" s="15"/>
      <c r="S50" s="15"/>
      <c r="T50" s="15"/>
    </row>
    <row r="51" spans="1:20" ht="12">
      <c r="A51" s="18"/>
      <c r="B51" s="106" t="s">
        <v>48</v>
      </c>
      <c r="C51" s="106"/>
      <c r="D51" s="5"/>
      <c r="E51" s="19"/>
      <c r="F51" s="18"/>
      <c r="G51" s="18"/>
      <c r="H51" s="18"/>
      <c r="I51" s="5"/>
      <c r="J51" s="18"/>
      <c r="K51" s="18"/>
      <c r="L51" s="5"/>
      <c r="M51" s="5"/>
      <c r="N51" s="5"/>
      <c r="O51" s="5"/>
      <c r="P51" s="6"/>
      <c r="Q51" s="22"/>
      <c r="R51" s="15"/>
      <c r="S51" s="15"/>
      <c r="T51" s="15"/>
    </row>
    <row r="52" spans="1:20" ht="12">
      <c r="A52" s="18"/>
      <c r="B52" s="106" t="s">
        <v>49</v>
      </c>
      <c r="C52" s="106"/>
      <c r="D52" s="5"/>
      <c r="E52" s="19"/>
      <c r="F52" s="18"/>
      <c r="G52" s="18"/>
      <c r="H52" s="18"/>
      <c r="I52" s="5"/>
      <c r="J52" s="18"/>
      <c r="K52" s="18"/>
      <c r="L52" s="5"/>
      <c r="M52" s="5"/>
      <c r="N52" s="5"/>
      <c r="O52" s="5"/>
      <c r="P52" s="6"/>
      <c r="Q52" s="22"/>
      <c r="R52" s="15"/>
      <c r="S52" s="15"/>
      <c r="T52" s="15"/>
    </row>
    <row r="53" spans="1:20" ht="12">
      <c r="A53" s="18"/>
      <c r="B53" s="106" t="s">
        <v>50</v>
      </c>
      <c r="C53" s="106"/>
      <c r="D53" s="5"/>
      <c r="E53" s="19"/>
      <c r="F53" s="18"/>
      <c r="G53" s="18"/>
      <c r="H53" s="18"/>
      <c r="I53" s="5"/>
      <c r="J53" s="18"/>
      <c r="K53" s="18"/>
      <c r="L53" s="5"/>
      <c r="M53" s="5"/>
      <c r="N53" s="5"/>
      <c r="O53" s="5"/>
      <c r="P53" s="6"/>
      <c r="Q53" s="22"/>
      <c r="R53" s="15"/>
      <c r="S53" s="15"/>
      <c r="T53" s="15"/>
    </row>
    <row r="54" spans="1:20" ht="12.75" customHeight="1">
      <c r="A54" s="18"/>
      <c r="B54" s="106" t="s">
        <v>52</v>
      </c>
      <c r="C54" s="106"/>
      <c r="D54" s="5"/>
      <c r="E54" s="19"/>
      <c r="F54" s="18"/>
      <c r="G54" s="18"/>
      <c r="H54" s="18"/>
      <c r="I54" s="5"/>
      <c r="J54" s="18"/>
      <c r="K54" s="18"/>
      <c r="L54" s="5"/>
      <c r="M54" s="5"/>
      <c r="N54" s="5"/>
      <c r="O54" s="5"/>
      <c r="P54" s="6"/>
      <c r="Q54" s="22"/>
      <c r="R54" s="15"/>
      <c r="S54" s="15"/>
      <c r="T54" s="15"/>
    </row>
    <row r="55" spans="1:20" ht="12">
      <c r="A55" s="18"/>
      <c r="B55" s="106" t="s">
        <v>53</v>
      </c>
      <c r="C55" s="106"/>
      <c r="D55" s="5"/>
      <c r="E55" s="19"/>
      <c r="F55" s="18"/>
      <c r="G55" s="18"/>
      <c r="H55" s="18"/>
      <c r="I55" s="5"/>
      <c r="J55" s="18"/>
      <c r="K55" s="18"/>
      <c r="L55" s="5"/>
      <c r="M55" s="5"/>
      <c r="N55" s="5"/>
      <c r="O55" s="5"/>
      <c r="P55" s="6"/>
      <c r="Q55" s="22"/>
      <c r="R55" s="15"/>
      <c r="S55" s="15"/>
      <c r="T55" s="15"/>
    </row>
    <row r="56" spans="1:20" ht="12">
      <c r="A56" s="18"/>
      <c r="B56" s="106" t="s">
        <v>54</v>
      </c>
      <c r="C56" s="106"/>
      <c r="D56" s="5"/>
      <c r="E56" s="19"/>
      <c r="F56" s="18"/>
      <c r="G56" s="18"/>
      <c r="H56" s="18"/>
      <c r="I56" s="5"/>
      <c r="J56" s="18"/>
      <c r="K56" s="18"/>
      <c r="L56" s="5"/>
      <c r="M56" s="5"/>
      <c r="N56" s="5"/>
      <c r="O56" s="5"/>
      <c r="P56" s="6"/>
      <c r="Q56" s="22"/>
      <c r="R56" s="15"/>
      <c r="S56" s="15"/>
      <c r="T56" s="15"/>
    </row>
    <row r="57" spans="1:20" ht="22.5" customHeight="1">
      <c r="A57" s="18">
        <v>3</v>
      </c>
      <c r="B57" s="109" t="s">
        <v>55</v>
      </c>
      <c r="C57" s="110"/>
      <c r="D57" s="5">
        <v>1</v>
      </c>
      <c r="E57" s="19"/>
      <c r="F57" s="18"/>
      <c r="G57" s="18"/>
      <c r="H57" s="18"/>
      <c r="I57" s="35">
        <v>0.95</v>
      </c>
      <c r="J57" s="35">
        <f>J58/J59</f>
        <v>1.7959174070805952</v>
      </c>
      <c r="K57" s="18"/>
      <c r="L57" s="21">
        <f>J57/I57*100</f>
        <v>189.0439375874311</v>
      </c>
      <c r="M57" s="5"/>
      <c r="N57" s="5"/>
      <c r="O57" s="5"/>
      <c r="P57" s="6"/>
      <c r="Q57" s="22">
        <f>ROUND(D57*L57/100,2)</f>
        <v>1.89</v>
      </c>
      <c r="R57" s="15"/>
      <c r="S57" s="15"/>
      <c r="T57" s="15"/>
    </row>
    <row r="58" spans="1:20" ht="16.5" customHeight="1">
      <c r="A58" s="18"/>
      <c r="B58" s="106" t="s">
        <v>56</v>
      </c>
      <c r="C58" s="106"/>
      <c r="D58" s="5"/>
      <c r="E58" s="19"/>
      <c r="F58" s="18"/>
      <c r="G58" s="18"/>
      <c r="H58" s="18"/>
      <c r="I58" s="5"/>
      <c r="J58" s="62">
        <f>'[1]Форма2'!G12</f>
        <v>3030533.4</v>
      </c>
      <c r="K58" s="18"/>
      <c r="L58" s="5"/>
      <c r="M58" s="5"/>
      <c r="N58" s="5"/>
      <c r="O58" s="5"/>
      <c r="P58" s="6"/>
      <c r="Q58" s="22"/>
      <c r="R58" s="15"/>
      <c r="S58" s="15"/>
      <c r="T58" s="15"/>
    </row>
    <row r="59" spans="1:20" ht="17.25" customHeight="1">
      <c r="A59" s="18"/>
      <c r="B59" s="106" t="s">
        <v>57</v>
      </c>
      <c r="C59" s="106"/>
      <c r="D59" s="5"/>
      <c r="E59" s="19"/>
      <c r="F59" s="18"/>
      <c r="G59" s="18"/>
      <c r="H59" s="18"/>
      <c r="I59" s="5"/>
      <c r="J59" s="62">
        <f>'[1]Форма2'!G5</f>
        <v>1687457</v>
      </c>
      <c r="K59" s="18"/>
      <c r="L59" s="5"/>
      <c r="M59" s="5"/>
      <c r="N59" s="5"/>
      <c r="O59" s="5"/>
      <c r="P59" s="6"/>
      <c r="Q59" s="22"/>
      <c r="R59" s="15"/>
      <c r="S59" s="15"/>
      <c r="T59" s="15"/>
    </row>
    <row r="60" spans="1:20" ht="26.25" customHeight="1" hidden="1">
      <c r="A60" s="18">
        <v>4</v>
      </c>
      <c r="B60" s="109" t="s">
        <v>58</v>
      </c>
      <c r="C60" s="110"/>
      <c r="D60" s="5">
        <v>0</v>
      </c>
      <c r="E60" s="19"/>
      <c r="F60" s="18"/>
      <c r="G60" s="18"/>
      <c r="H60" s="18"/>
      <c r="I60" s="5">
        <v>0</v>
      </c>
      <c r="J60" s="18">
        <v>0</v>
      </c>
      <c r="K60" s="18"/>
      <c r="L60" s="63">
        <v>0</v>
      </c>
      <c r="M60" s="5"/>
      <c r="N60" s="5"/>
      <c r="O60" s="5"/>
      <c r="P60" s="6"/>
      <c r="Q60" s="22">
        <v>0</v>
      </c>
      <c r="R60" s="15"/>
      <c r="S60" s="15"/>
      <c r="T60" s="15"/>
    </row>
    <row r="61" spans="1:20" ht="12" hidden="1">
      <c r="A61" s="18"/>
      <c r="B61" s="106" t="s">
        <v>59</v>
      </c>
      <c r="C61" s="106"/>
      <c r="D61" s="5"/>
      <c r="E61" s="19"/>
      <c r="F61" s="18"/>
      <c r="G61" s="18"/>
      <c r="H61" s="18"/>
      <c r="I61" s="5"/>
      <c r="J61" s="18"/>
      <c r="K61" s="18"/>
      <c r="L61" s="5"/>
      <c r="M61" s="5"/>
      <c r="N61" s="5"/>
      <c r="O61" s="5"/>
      <c r="P61" s="6"/>
      <c r="Q61" s="22"/>
      <c r="R61" s="15"/>
      <c r="S61" s="15"/>
      <c r="T61" s="15"/>
    </row>
    <row r="62" spans="1:20" ht="12.75" customHeight="1" hidden="1">
      <c r="A62" s="18"/>
      <c r="B62" s="106" t="s">
        <v>60</v>
      </c>
      <c r="C62" s="106"/>
      <c r="D62" s="5"/>
      <c r="E62" s="19"/>
      <c r="F62" s="18"/>
      <c r="G62" s="18"/>
      <c r="H62" s="18"/>
      <c r="I62" s="5"/>
      <c r="J62" s="18"/>
      <c r="K62" s="18"/>
      <c r="L62" s="5"/>
      <c r="M62" s="5"/>
      <c r="N62" s="5"/>
      <c r="O62" s="5"/>
      <c r="P62" s="6"/>
      <c r="Q62" s="22"/>
      <c r="R62" s="15"/>
      <c r="S62" s="15"/>
      <c r="T62" s="15"/>
    </row>
    <row r="63" spans="1:20" ht="15.75" customHeight="1">
      <c r="A63" s="18">
        <v>4</v>
      </c>
      <c r="B63" s="107" t="s">
        <v>19</v>
      </c>
      <c r="C63" s="108"/>
      <c r="D63" s="5">
        <v>1</v>
      </c>
      <c r="E63" s="19"/>
      <c r="F63" s="18"/>
      <c r="G63" s="18"/>
      <c r="H63" s="18"/>
      <c r="I63" s="35">
        <v>0.37</v>
      </c>
      <c r="J63" s="35">
        <f>J64/J65</f>
        <v>-1.9702082155092275</v>
      </c>
      <c r="K63" s="64"/>
      <c r="L63" s="21">
        <v>0</v>
      </c>
      <c r="M63" s="5"/>
      <c r="N63" s="5"/>
      <c r="O63" s="5"/>
      <c r="P63" s="6"/>
      <c r="Q63" s="22">
        <f>ROUND(D63*L63/100,2)</f>
        <v>0</v>
      </c>
      <c r="R63" s="15"/>
      <c r="S63" s="15"/>
      <c r="T63" s="15"/>
    </row>
    <row r="64" spans="1:20" ht="12.75" customHeight="1">
      <c r="A64" s="18"/>
      <c r="B64" s="106" t="s">
        <v>59</v>
      </c>
      <c r="C64" s="106"/>
      <c r="D64" s="5"/>
      <c r="E64" s="19"/>
      <c r="F64" s="18"/>
      <c r="G64" s="18"/>
      <c r="H64" s="18"/>
      <c r="I64" s="33">
        <f>'[1]Форма2'!G16</f>
        <v>-1212316.4</v>
      </c>
      <c r="J64" s="33">
        <f>'[1]Форма2'!G16</f>
        <v>-1212316.4</v>
      </c>
      <c r="K64" s="18"/>
      <c r="L64" s="5"/>
      <c r="M64" s="5"/>
      <c r="N64" s="5"/>
      <c r="O64" s="5"/>
      <c r="P64" s="6"/>
      <c r="Q64" s="22"/>
      <c r="R64" s="15"/>
      <c r="S64" s="15"/>
      <c r="T64" s="15"/>
    </row>
    <row r="65" spans="1:20" ht="12.75" customHeight="1">
      <c r="A65" s="18"/>
      <c r="B65" s="106" t="s">
        <v>61</v>
      </c>
      <c r="C65" s="106"/>
      <c r="D65" s="5"/>
      <c r="E65" s="19"/>
      <c r="F65" s="18"/>
      <c r="G65" s="18"/>
      <c r="H65" s="18"/>
      <c r="I65" s="63">
        <v>615323</v>
      </c>
      <c r="J65" s="33">
        <v>615324</v>
      </c>
      <c r="K65" s="18"/>
      <c r="L65" s="5"/>
      <c r="M65" s="5"/>
      <c r="N65" s="5"/>
      <c r="O65" s="5"/>
      <c r="P65" s="6"/>
      <c r="Q65" s="22"/>
      <c r="R65" s="15"/>
      <c r="S65" s="15"/>
      <c r="T65" s="15"/>
    </row>
    <row r="66" spans="1:17" ht="15.75" customHeight="1">
      <c r="A66" s="5">
        <v>5</v>
      </c>
      <c r="B66" s="104" t="s">
        <v>62</v>
      </c>
      <c r="C66" s="104"/>
      <c r="D66" s="34">
        <v>12</v>
      </c>
      <c r="E66" s="24">
        <f>E67/E68</f>
        <v>0.16771861022850937</v>
      </c>
      <c r="F66" s="25">
        <f>F67/F68</f>
        <v>0.03830949553474527</v>
      </c>
      <c r="G66" s="25">
        <f>G67/G68</f>
        <v>0.45776465588583953</v>
      </c>
      <c r="H66" s="25">
        <f>H67/H68</f>
        <v>0.27166832721070033</v>
      </c>
      <c r="I66" s="34">
        <v>0.2</v>
      </c>
      <c r="J66" s="35">
        <f>ROUND(J67/J68,2)</f>
        <v>0.27</v>
      </c>
      <c r="K66" s="13">
        <f>ROUND(E66/$I$66*100,0)</f>
        <v>84</v>
      </c>
      <c r="L66" s="13">
        <f>ROUND(J66/I66*100,0)</f>
        <v>135</v>
      </c>
      <c r="M66" s="13">
        <f>ROUND(G66/$I$66*100,0)</f>
        <v>229</v>
      </c>
      <c r="N66" s="13">
        <f>ROUND(H66/$I$66*100,0)</f>
        <v>136</v>
      </c>
      <c r="O66" s="27">
        <f>ROUND(13/0.87,1)</f>
        <v>14.9</v>
      </c>
      <c r="P66" s="22">
        <f aca="true" t="shared" si="1" ref="P66:P80">ROUND($O66*K66/100,2)</f>
        <v>12.52</v>
      </c>
      <c r="Q66" s="14">
        <f>ROUND(D66*L66/100,1)</f>
        <v>16.2</v>
      </c>
    </row>
    <row r="67" spans="1:17" ht="24.75" customHeight="1">
      <c r="A67" s="36"/>
      <c r="B67" s="95" t="s">
        <v>63</v>
      </c>
      <c r="C67" s="95"/>
      <c r="D67" s="65"/>
      <c r="E67" s="29">
        <f>'[1]Баланс'!D24</f>
        <v>52569</v>
      </c>
      <c r="F67" s="30">
        <f>'[1]Баланс'!F24</f>
        <v>28627.1</v>
      </c>
      <c r="G67" s="30">
        <f>'[1]Баланс'!H24</f>
        <v>204662</v>
      </c>
      <c r="H67" s="30">
        <f>'[1]Баланс'!J24</f>
        <v>122619.7</v>
      </c>
      <c r="I67" s="31"/>
      <c r="J67" s="30">
        <f>'[1]Баланс'!J24</f>
        <v>122619.7</v>
      </c>
      <c r="K67" s="105"/>
      <c r="L67" s="105"/>
      <c r="M67" s="105"/>
      <c r="N67" s="66"/>
      <c r="O67" s="32"/>
      <c r="P67" s="22">
        <f t="shared" si="1"/>
        <v>0</v>
      </c>
      <c r="Q67" s="14"/>
    </row>
    <row r="68" spans="1:17" ht="15" customHeight="1">
      <c r="A68" s="36"/>
      <c r="B68" s="95" t="s">
        <v>64</v>
      </c>
      <c r="C68" s="95"/>
      <c r="D68" s="67"/>
      <c r="E68" s="29">
        <f>'[1]Баланс'!D39</f>
        <v>313435.7</v>
      </c>
      <c r="F68" s="30">
        <f>'[1]Баланс'!F39</f>
        <v>747258.6</v>
      </c>
      <c r="G68" s="30">
        <f>'[1]Баланс'!H39</f>
        <v>447090</v>
      </c>
      <c r="H68" s="30">
        <f>'[1]Баланс'!J39</f>
        <v>451358.1</v>
      </c>
      <c r="I68" s="31"/>
      <c r="J68" s="33">
        <f>'[1]Баланс'!J39</f>
        <v>451358.1</v>
      </c>
      <c r="K68" s="31"/>
      <c r="L68" s="31"/>
      <c r="M68" s="31"/>
      <c r="N68" s="31"/>
      <c r="O68" s="32"/>
      <c r="P68" s="22">
        <f t="shared" si="1"/>
        <v>0</v>
      </c>
      <c r="Q68" s="14"/>
    </row>
    <row r="69" spans="1:17" ht="18" customHeight="1">
      <c r="A69" s="5">
        <v>6</v>
      </c>
      <c r="B69" s="104" t="s">
        <v>65</v>
      </c>
      <c r="C69" s="104"/>
      <c r="D69" s="34">
        <v>11</v>
      </c>
      <c r="E69" s="6">
        <f>ROUND(E70/ROUND(E71/E72,3),0)</f>
        <v>349</v>
      </c>
      <c r="F69" s="5">
        <f>ROUND(F70/ROUND(F71/F72,3),0)</f>
        <v>95</v>
      </c>
      <c r="G69" s="5">
        <f>ROUND(G70/ROUND(G71/G72,3),0)</f>
        <v>104</v>
      </c>
      <c r="H69" s="5">
        <f>ROUND(H70/ROUND(H71/H72,3),0)</f>
        <v>67</v>
      </c>
      <c r="I69" s="22">
        <v>90</v>
      </c>
      <c r="J69" s="68">
        <f>ROUND(J70/(J71/J72),0)</f>
        <v>130</v>
      </c>
      <c r="K69" s="69">
        <f>ROUND($I$69/E69*100,0)</f>
        <v>26</v>
      </c>
      <c r="L69" s="22">
        <f>ROUND(I69/J69*100,0)</f>
        <v>69</v>
      </c>
      <c r="M69" s="22">
        <f>ROUND($I$69/G69*100,0)</f>
        <v>87</v>
      </c>
      <c r="N69" s="22">
        <f>ROUND($I$69/H69*100,0)</f>
        <v>134</v>
      </c>
      <c r="O69" s="27">
        <f>ROUND(12/0.87,1)</f>
        <v>13.8</v>
      </c>
      <c r="P69" s="22">
        <f t="shared" si="1"/>
        <v>3.59</v>
      </c>
      <c r="Q69" s="14">
        <f>ROUND(D69*L69/100,1)</f>
        <v>7.6</v>
      </c>
    </row>
    <row r="70" spans="1:17" ht="12.75" customHeight="1">
      <c r="A70" s="36"/>
      <c r="B70" s="95" t="s">
        <v>66</v>
      </c>
      <c r="C70" s="95"/>
      <c r="D70" s="67"/>
      <c r="E70" s="70">
        <v>90</v>
      </c>
      <c r="F70" s="63">
        <v>180</v>
      </c>
      <c r="G70" s="63">
        <v>270</v>
      </c>
      <c r="H70" s="63">
        <v>365</v>
      </c>
      <c r="I70" s="31"/>
      <c r="J70" s="71">
        <v>365</v>
      </c>
      <c r="K70" s="37"/>
      <c r="L70" s="31"/>
      <c r="M70" s="31"/>
      <c r="N70" s="31"/>
      <c r="O70" s="32"/>
      <c r="P70" s="22">
        <f t="shared" si="1"/>
        <v>0</v>
      </c>
      <c r="Q70" s="14"/>
    </row>
    <row r="71" spans="1:17" ht="26.25" customHeight="1">
      <c r="A71" s="36"/>
      <c r="B71" s="95" t="s">
        <v>67</v>
      </c>
      <c r="C71" s="95"/>
      <c r="D71" s="67"/>
      <c r="E71" s="29">
        <f>'[1]Форма2'!D5</f>
        <v>136470.9</v>
      </c>
      <c r="F71" s="30">
        <f>'[1]Форма2'!E5</f>
        <v>1417892</v>
      </c>
      <c r="G71" s="30">
        <f>'[1]Форма2'!F5</f>
        <v>1552674</v>
      </c>
      <c r="H71" s="30">
        <f>'[1]Форма2'!G5+G71</f>
        <v>3240131</v>
      </c>
      <c r="I71" s="31"/>
      <c r="J71" s="30">
        <f>'[1]Форма2'!G5</f>
        <v>1687457</v>
      </c>
      <c r="K71" s="37"/>
      <c r="L71" s="31"/>
      <c r="M71" s="31"/>
      <c r="N71" s="31"/>
      <c r="O71" s="32"/>
      <c r="P71" s="22">
        <f t="shared" si="1"/>
        <v>0</v>
      </c>
      <c r="Q71" s="14"/>
    </row>
    <row r="72" spans="1:17" ht="18" customHeight="1">
      <c r="A72" s="36"/>
      <c r="B72" s="103" t="s">
        <v>68</v>
      </c>
      <c r="C72" s="103"/>
      <c r="D72" s="67"/>
      <c r="E72" s="29">
        <f>ROUND((E73+E74)/2,3)</f>
        <v>529788.65</v>
      </c>
      <c r="F72" s="33">
        <f>(F73+F74)/2</f>
        <v>746700.1</v>
      </c>
      <c r="G72" s="33">
        <f>(G73+G74)/2</f>
        <v>596615.5</v>
      </c>
      <c r="H72" s="33">
        <f>(H73+H74)/2</f>
        <v>598750.05</v>
      </c>
      <c r="I72" s="31"/>
      <c r="J72" s="72">
        <f>ROUND((J73+J74)/2,0)</f>
        <v>598750</v>
      </c>
      <c r="K72" s="37"/>
      <c r="L72" s="31"/>
      <c r="M72" s="31"/>
      <c r="N72" s="31"/>
      <c r="O72" s="32"/>
      <c r="P72" s="22">
        <f t="shared" si="1"/>
        <v>0</v>
      </c>
      <c r="Q72" s="14"/>
    </row>
    <row r="73" spans="1:17" ht="24.75" customHeight="1">
      <c r="A73" s="36"/>
      <c r="B73" s="103" t="s">
        <v>69</v>
      </c>
      <c r="C73" s="103"/>
      <c r="D73" s="67"/>
      <c r="E73" s="29">
        <f>'[1]Баланс'!C40</f>
        <v>746141.6</v>
      </c>
      <c r="F73" s="33">
        <f>'[1]Баланс'!E40</f>
        <v>746141.6</v>
      </c>
      <c r="G73" s="33">
        <f>'[1]Баланс'!G40</f>
        <v>746141</v>
      </c>
      <c r="H73" s="33">
        <f>'[1]Баланс'!I40</f>
        <v>746142</v>
      </c>
      <c r="I73" s="31"/>
      <c r="J73" s="33">
        <f>'[1]Баланс'!I40</f>
        <v>746142</v>
      </c>
      <c r="K73" s="37"/>
      <c r="L73" s="31"/>
      <c r="M73" s="73"/>
      <c r="N73" s="31"/>
      <c r="O73" s="32"/>
      <c r="P73" s="22">
        <f t="shared" si="1"/>
        <v>0</v>
      </c>
      <c r="Q73" s="14"/>
    </row>
    <row r="74" spans="1:17" ht="18" customHeight="1">
      <c r="A74" s="36"/>
      <c r="B74" s="103" t="s">
        <v>70</v>
      </c>
      <c r="C74" s="103"/>
      <c r="D74" s="67"/>
      <c r="E74" s="29">
        <f>'[1]Баланс'!D40</f>
        <v>313435.7</v>
      </c>
      <c r="F74" s="30">
        <f>'[1]Баланс'!F40</f>
        <v>747258.6</v>
      </c>
      <c r="G74" s="30">
        <f>'[1]Баланс'!H40</f>
        <v>447090</v>
      </c>
      <c r="H74" s="30">
        <f>'[1]Баланс'!J40</f>
        <v>451358.1</v>
      </c>
      <c r="I74" s="31"/>
      <c r="J74" s="33">
        <f>'[1]Баланс'!J40</f>
        <v>451358.1</v>
      </c>
      <c r="K74" s="37"/>
      <c r="L74" s="31"/>
      <c r="M74" s="31"/>
      <c r="N74" s="31"/>
      <c r="O74" s="32"/>
      <c r="P74" s="22">
        <f t="shared" si="1"/>
        <v>0</v>
      </c>
      <c r="Q74" s="14"/>
    </row>
    <row r="75" spans="1:17" ht="18" customHeight="1">
      <c r="A75" s="5">
        <v>7</v>
      </c>
      <c r="B75" s="104" t="s">
        <v>71</v>
      </c>
      <c r="C75" s="104"/>
      <c r="D75" s="34">
        <v>11</v>
      </c>
      <c r="E75" s="6">
        <f>ROUND(E76/ROUND(E77/E78,3),0)</f>
        <v>1304</v>
      </c>
      <c r="F75" s="74">
        <f>ROUND(F76/ROUND(F77/F78,3),0)</f>
        <v>272</v>
      </c>
      <c r="G75" s="74">
        <f>ROUND(G76/ROUND(G77/G78,3),0)</f>
        <v>305</v>
      </c>
      <c r="H75" s="74">
        <f>ROUND(H76/ROUND(H77/H78,3),0)</f>
        <v>181</v>
      </c>
      <c r="I75" s="22">
        <v>90</v>
      </c>
      <c r="J75" s="68">
        <f>ROUND(J76/(J77/J78),0)</f>
        <v>347</v>
      </c>
      <c r="K75" s="75">
        <f>ROUND($I$75/E75*100,0)</f>
        <v>7</v>
      </c>
      <c r="L75" s="76">
        <f>ROUND(I75/J75*100,0)</f>
        <v>26</v>
      </c>
      <c r="M75" s="66">
        <f>ROUND($I$75/G75*100,0)</f>
        <v>30</v>
      </c>
      <c r="N75" s="66">
        <f>ROUND($I$75/H75*100,0)</f>
        <v>50</v>
      </c>
      <c r="O75" s="27">
        <f>ROUND(20/0.87,1)</f>
        <v>23</v>
      </c>
      <c r="P75" s="22">
        <f t="shared" si="1"/>
        <v>1.61</v>
      </c>
      <c r="Q75" s="14">
        <f>ROUND(D75*L75/100,1)</f>
        <v>2.9</v>
      </c>
    </row>
    <row r="76" spans="1:17" ht="14.25" customHeight="1">
      <c r="A76" s="36"/>
      <c r="B76" s="95" t="s">
        <v>72</v>
      </c>
      <c r="C76" s="95"/>
      <c r="D76" s="67"/>
      <c r="E76" s="77">
        <v>90</v>
      </c>
      <c r="F76" s="63">
        <v>180</v>
      </c>
      <c r="G76" s="63">
        <v>270</v>
      </c>
      <c r="H76" s="63">
        <v>365</v>
      </c>
      <c r="I76" s="31"/>
      <c r="J76" s="63">
        <v>365</v>
      </c>
      <c r="K76" s="37"/>
      <c r="L76" s="31"/>
      <c r="M76" s="31"/>
      <c r="N76" s="31"/>
      <c r="O76" s="32"/>
      <c r="P76" s="22">
        <f t="shared" si="1"/>
        <v>0</v>
      </c>
      <c r="Q76" s="14"/>
    </row>
    <row r="77" spans="1:17" ht="27" customHeight="1">
      <c r="A77" s="36"/>
      <c r="B77" s="95" t="s">
        <v>73</v>
      </c>
      <c r="C77" s="95"/>
      <c r="D77" s="67"/>
      <c r="E77" s="29">
        <f>'[1]Форма2'!D5</f>
        <v>136470.9</v>
      </c>
      <c r="F77" s="30">
        <f>'[1]Форма2'!E5</f>
        <v>1417892</v>
      </c>
      <c r="G77" s="30">
        <f>'[1]Форма2'!F5</f>
        <v>1552674</v>
      </c>
      <c r="H77" s="30">
        <f>'[1]Форма2'!G5+G77</f>
        <v>3240131</v>
      </c>
      <c r="I77" s="31"/>
      <c r="J77" s="30">
        <f>J71</f>
        <v>1687457</v>
      </c>
      <c r="K77" s="37"/>
      <c r="L77" s="31"/>
      <c r="M77" s="31"/>
      <c r="N77" s="31"/>
      <c r="O77" s="32"/>
      <c r="P77" s="22">
        <f t="shared" si="1"/>
        <v>0</v>
      </c>
      <c r="Q77" s="14"/>
    </row>
    <row r="78" spans="1:17" ht="18" customHeight="1">
      <c r="A78" s="36"/>
      <c r="B78" s="95" t="s">
        <v>74</v>
      </c>
      <c r="C78" s="95"/>
      <c r="D78" s="67"/>
      <c r="E78" s="29">
        <f>ROUND((E79+E80)/2,3)</f>
        <v>1990844.75</v>
      </c>
      <c r="F78" s="33">
        <f>ROUND((F79+F80)/2,3)</f>
        <v>2143535.5</v>
      </c>
      <c r="G78" s="33">
        <f>ROUND((G79+G80)/2,3)</f>
        <v>1752176.25</v>
      </c>
      <c r="H78" s="33">
        <f>ROUND((H79+H80)/2,3)</f>
        <v>1604033.8</v>
      </c>
      <c r="I78" s="31"/>
      <c r="J78" s="33">
        <f>ROUND((J79+J80)/2,0)</f>
        <v>1604034</v>
      </c>
      <c r="K78" s="37"/>
      <c r="L78" s="31"/>
      <c r="M78" s="31"/>
      <c r="N78" s="31"/>
      <c r="O78" s="32"/>
      <c r="P78" s="22">
        <f t="shared" si="1"/>
        <v>0</v>
      </c>
      <c r="Q78" s="14"/>
    </row>
    <row r="79" spans="1:17" ht="18" customHeight="1">
      <c r="A79" s="36"/>
      <c r="B79" s="95" t="s">
        <v>75</v>
      </c>
      <c r="C79" s="95"/>
      <c r="D79" s="67"/>
      <c r="E79" s="29">
        <f>'[1]Баланс'!C23</f>
        <v>2525111.7</v>
      </c>
      <c r="F79" s="33">
        <f>'[1]Баланс'!E23</f>
        <v>2525111.7</v>
      </c>
      <c r="G79" s="33">
        <f>'[1]Баланс'!G23</f>
        <v>2525111.7</v>
      </c>
      <c r="H79" s="33">
        <f>'[1]Баланс'!I23</f>
        <v>2525112</v>
      </c>
      <c r="I79" s="31"/>
      <c r="J79" s="33">
        <f>'[1]Баланс'!I23</f>
        <v>2525112</v>
      </c>
      <c r="K79" s="37"/>
      <c r="L79" s="31"/>
      <c r="M79" s="31"/>
      <c r="N79" s="31"/>
      <c r="O79" s="32"/>
      <c r="P79" s="22">
        <f t="shared" si="1"/>
        <v>0</v>
      </c>
      <c r="Q79" s="14"/>
    </row>
    <row r="80" spans="1:17" ht="18" customHeight="1">
      <c r="A80" s="36"/>
      <c r="B80" s="95" t="s">
        <v>76</v>
      </c>
      <c r="C80" s="95"/>
      <c r="D80" s="67"/>
      <c r="E80" s="29">
        <f>'[1]Баланс'!D23</f>
        <v>1456577.8</v>
      </c>
      <c r="F80" s="30">
        <f>'[1]Баланс'!F23</f>
        <v>1761959.3</v>
      </c>
      <c r="G80" s="30">
        <f>'[1]Баланс'!H23</f>
        <v>979240.8</v>
      </c>
      <c r="H80" s="30">
        <f>'[1]Баланс'!J23</f>
        <v>682955.6</v>
      </c>
      <c r="I80" s="31"/>
      <c r="J80" s="33">
        <f>'[1]Баланс'!J23</f>
        <v>682955.6</v>
      </c>
      <c r="K80" s="37"/>
      <c r="L80" s="31"/>
      <c r="M80" s="31"/>
      <c r="N80" s="31"/>
      <c r="O80" s="32"/>
      <c r="P80" s="22">
        <f t="shared" si="1"/>
        <v>0</v>
      </c>
      <c r="Q80" s="14"/>
    </row>
    <row r="81" spans="1:17" ht="24" customHeight="1">
      <c r="A81" s="5">
        <v>8</v>
      </c>
      <c r="B81" s="104" t="s">
        <v>77</v>
      </c>
      <c r="C81" s="104"/>
      <c r="D81" s="34">
        <v>14</v>
      </c>
      <c r="E81" s="24">
        <f>E82/E83</f>
        <v>0.7000284602978845</v>
      </c>
      <c r="F81" s="25">
        <f>F82/F83</f>
        <v>0.7272068589317902</v>
      </c>
      <c r="G81" s="25">
        <f>G82/G83</f>
        <v>0.7533662895638117</v>
      </c>
      <c r="H81" s="25">
        <f>H82/H83</f>
        <v>0.7783244262493566</v>
      </c>
      <c r="I81" s="34">
        <v>0.5</v>
      </c>
      <c r="J81" s="35">
        <f>ROUND(J82/J83,2)</f>
        <v>0.78</v>
      </c>
      <c r="K81" s="13">
        <f>ROUND($I$81/E81*100,0)</f>
        <v>71</v>
      </c>
      <c r="L81" s="13">
        <f>ROUND(I81/J81*100,0)</f>
        <v>64</v>
      </c>
      <c r="M81" s="13">
        <f>ROUND($I$81/G81*100,0)</f>
        <v>66</v>
      </c>
      <c r="N81" s="13">
        <f>ROUND($I$81/H81*100,0)</f>
        <v>64</v>
      </c>
      <c r="O81" s="27">
        <f>ROUND(30,1)</f>
        <v>30</v>
      </c>
      <c r="P81" s="78">
        <f>$O81*K81/100</f>
        <v>21.3</v>
      </c>
      <c r="Q81" s="14">
        <f>ROUND(D81*L81/100,1)</f>
        <v>9</v>
      </c>
    </row>
    <row r="82" spans="1:17" ht="18.75" customHeight="1">
      <c r="A82" s="36"/>
      <c r="B82" s="95" t="s">
        <v>78</v>
      </c>
      <c r="C82" s="95"/>
      <c r="D82" s="67"/>
      <c r="E82" s="79">
        <f>'[1]Баланс'!D7</f>
        <v>590320</v>
      </c>
      <c r="F82" s="68">
        <f>'[1]Баланс'!F7</f>
        <v>613239</v>
      </c>
      <c r="G82" s="68">
        <f>'[1]Баланс'!H7</f>
        <v>635298.8</v>
      </c>
      <c r="H82" s="68">
        <f>'[1]Баланс'!J7</f>
        <v>656345.5</v>
      </c>
      <c r="I82" s="22"/>
      <c r="J82" s="33">
        <f>'[1]Баланс'!J7</f>
        <v>656345.5</v>
      </c>
      <c r="K82" s="13"/>
      <c r="L82" s="13"/>
      <c r="M82" s="13"/>
      <c r="N82" s="13"/>
      <c r="O82" s="32"/>
      <c r="P82" s="22"/>
      <c r="Q82" s="14"/>
    </row>
    <row r="83" spans="1:17" ht="25.5" customHeight="1">
      <c r="A83" s="36"/>
      <c r="B83" s="95" t="s">
        <v>79</v>
      </c>
      <c r="C83" s="95"/>
      <c r="D83" s="67"/>
      <c r="E83" s="79">
        <f>'[1]Баланс'!D6</f>
        <v>843280</v>
      </c>
      <c r="F83" s="80">
        <f>'[1]Баланс'!F6</f>
        <v>843280</v>
      </c>
      <c r="G83" s="80">
        <f>'[1]Баланс'!H6</f>
        <v>843280.1</v>
      </c>
      <c r="H83" s="80">
        <f>'[1]Баланс'!J6</f>
        <v>843280.1</v>
      </c>
      <c r="I83" s="22"/>
      <c r="J83" s="30">
        <f>'[1]Баланс'!J6</f>
        <v>843280.1</v>
      </c>
      <c r="K83" s="13"/>
      <c r="L83" s="13"/>
      <c r="M83" s="13"/>
      <c r="N83" s="13"/>
      <c r="O83" s="32"/>
      <c r="P83" s="22"/>
      <c r="Q83" s="14"/>
    </row>
    <row r="84" spans="1:17" s="83" customFormat="1" ht="24" customHeight="1">
      <c r="A84" s="5">
        <v>9</v>
      </c>
      <c r="B84" s="104" t="s">
        <v>80</v>
      </c>
      <c r="C84" s="104"/>
      <c r="D84" s="23">
        <v>12</v>
      </c>
      <c r="E84" s="24">
        <f>E85/E86</f>
        <v>0.02084760332117999</v>
      </c>
      <c r="F84" s="25">
        <f>F85/F86</f>
        <v>0.06320661193846977</v>
      </c>
      <c r="G84" s="25">
        <f>G85/G86</f>
        <v>0.06320661193846977</v>
      </c>
      <c r="H84" s="25">
        <f>H85/H86</f>
        <v>0.06441720635050124</v>
      </c>
      <c r="I84" s="34">
        <v>0.15</v>
      </c>
      <c r="J84" s="81">
        <f>ROUND(J85/J86,2)</f>
        <v>0.37</v>
      </c>
      <c r="K84" s="67">
        <f>ROUND(E84/$I$84*100,0)</f>
        <v>14</v>
      </c>
      <c r="L84" s="67">
        <f>ROUND(J84/I84*100,0)</f>
        <v>247</v>
      </c>
      <c r="M84" s="67">
        <f>ROUND(G84/$I$84*100,0)</f>
        <v>42</v>
      </c>
      <c r="N84" s="67">
        <f>ROUND(H84/$I$84*100,0)</f>
        <v>43</v>
      </c>
      <c r="O84" s="82">
        <f>ROUND(15,1)</f>
        <v>15</v>
      </c>
      <c r="P84" s="34">
        <f>$O84*K84/100</f>
        <v>2.1</v>
      </c>
      <c r="Q84" s="14">
        <f>ROUND(D84*L84/100,1)</f>
        <v>29.6</v>
      </c>
    </row>
    <row r="85" spans="1:17" ht="25.5" customHeight="1">
      <c r="A85" s="36"/>
      <c r="B85" s="95" t="s">
        <v>81</v>
      </c>
      <c r="C85" s="95"/>
      <c r="D85" s="67"/>
      <c r="E85" s="79">
        <v>10744</v>
      </c>
      <c r="F85" s="68">
        <v>34047</v>
      </c>
      <c r="G85" s="80">
        <v>34047</v>
      </c>
      <c r="H85" s="68">
        <v>34744</v>
      </c>
      <c r="I85" s="22"/>
      <c r="J85" s="30">
        <v>68263</v>
      </c>
      <c r="K85" s="13"/>
      <c r="L85" s="13"/>
      <c r="M85" s="13"/>
      <c r="N85" s="13"/>
      <c r="O85" s="32"/>
      <c r="P85" s="22"/>
      <c r="Q85" s="14"/>
    </row>
    <row r="86" spans="1:17" ht="24.75" customHeight="1">
      <c r="A86" s="36"/>
      <c r="B86" s="95" t="s">
        <v>82</v>
      </c>
      <c r="C86" s="95"/>
      <c r="D86" s="67"/>
      <c r="E86" s="79">
        <v>515359</v>
      </c>
      <c r="F86" s="68">
        <v>538662</v>
      </c>
      <c r="G86" s="80">
        <v>538662</v>
      </c>
      <c r="H86" s="68">
        <v>539359</v>
      </c>
      <c r="I86" s="22"/>
      <c r="J86" s="30">
        <f>'[1]Баланс'!J8</f>
        <v>186934.59999999998</v>
      </c>
      <c r="K86" s="13"/>
      <c r="L86" s="13"/>
      <c r="M86" s="13"/>
      <c r="N86" s="13"/>
      <c r="O86" s="32"/>
      <c r="P86" s="22"/>
      <c r="Q86" s="14"/>
    </row>
    <row r="87" spans="1:17" ht="24" customHeight="1">
      <c r="A87" s="5">
        <v>10</v>
      </c>
      <c r="B87" s="104" t="s">
        <v>83</v>
      </c>
      <c r="C87" s="104">
        <v>7500</v>
      </c>
      <c r="D87" s="23">
        <v>12</v>
      </c>
      <c r="E87" s="79" t="e">
        <f>ROUND(E88/E89,0)</f>
        <v>#REF!</v>
      </c>
      <c r="F87" s="68" t="e">
        <f>ROUND(F88/F89,0)</f>
        <v>#REF!</v>
      </c>
      <c r="G87" s="68" t="e">
        <f>ROUND(G88/G89,0)</f>
        <v>#REF!</v>
      </c>
      <c r="H87" s="68" t="e">
        <f>ROUND(H88/H89,0)</f>
        <v>#REF!</v>
      </c>
      <c r="I87" s="84">
        <v>56000</v>
      </c>
      <c r="J87" s="85">
        <f>ROUND(J88/J89,0)</f>
        <v>67498</v>
      </c>
      <c r="K87" s="13" t="e">
        <f>ROUND(E87/$I$87*100,0)</f>
        <v>#REF!</v>
      </c>
      <c r="L87" s="13">
        <f>ROUND(J87/I87*100,0)</f>
        <v>121</v>
      </c>
      <c r="M87" s="13" t="e">
        <f>ROUND(G87/((3093500+3409500+3305000)/401)*100,0)</f>
        <v>#REF!</v>
      </c>
      <c r="N87" s="13" t="e">
        <f>ROUND(H87/((3093500+3409500+3305000+3392000)/401)*100,0)</f>
        <v>#REF!</v>
      </c>
      <c r="O87" s="82">
        <f>ROUND(10,1)</f>
        <v>10</v>
      </c>
      <c r="P87" s="78" t="e">
        <f>$O87*K87/100</f>
        <v>#REF!</v>
      </c>
      <c r="Q87" s="14">
        <f>ROUND(D87*L87/100,1)</f>
        <v>14.5</v>
      </c>
    </row>
    <row r="88" spans="1:17" ht="24" customHeight="1">
      <c r="A88" s="36"/>
      <c r="B88" s="95" t="s">
        <v>84</v>
      </c>
      <c r="C88" s="95"/>
      <c r="D88" s="67"/>
      <c r="E88" s="29" t="e">
        <f>'[1]Форма2'!#REF!</f>
        <v>#REF!</v>
      </c>
      <c r="F88" s="33" t="e">
        <f>'[1]Форма2'!#REF!</f>
        <v>#REF!</v>
      </c>
      <c r="G88" s="33" t="e">
        <f>'[1]Форма2'!#REF!</f>
        <v>#REF!</v>
      </c>
      <c r="H88" s="33" t="e">
        <f>'[1]Форма2'!#REF!+G88</f>
        <v>#REF!</v>
      </c>
      <c r="I88" s="22"/>
      <c r="J88" s="30">
        <f>J71</f>
        <v>1687457</v>
      </c>
      <c r="K88" s="13"/>
      <c r="L88" s="13"/>
      <c r="M88" s="13"/>
      <c r="N88" s="13"/>
      <c r="O88" s="32"/>
      <c r="P88" s="22">
        <f>$O88*K88/100</f>
        <v>0</v>
      </c>
      <c r="Q88" s="14"/>
    </row>
    <row r="89" spans="1:17" ht="18" customHeight="1">
      <c r="A89" s="36"/>
      <c r="B89" s="95" t="s">
        <v>85</v>
      </c>
      <c r="C89" s="95"/>
      <c r="D89" s="67"/>
      <c r="E89" s="77">
        <v>399</v>
      </c>
      <c r="F89" s="63">
        <v>400</v>
      </c>
      <c r="G89" s="63">
        <v>402</v>
      </c>
      <c r="H89" s="63">
        <v>401</v>
      </c>
      <c r="I89" s="22"/>
      <c r="J89" s="86">
        <v>25</v>
      </c>
      <c r="K89" s="13"/>
      <c r="L89" s="13"/>
      <c r="M89" s="13"/>
      <c r="N89" s="13"/>
      <c r="O89" s="32"/>
      <c r="P89" s="22">
        <f>$O89*K89/100</f>
        <v>0</v>
      </c>
      <c r="Q89" s="14"/>
    </row>
    <row r="90" spans="1:17" ht="24" customHeight="1">
      <c r="A90" s="5">
        <v>11</v>
      </c>
      <c r="B90" s="104" t="s">
        <v>86</v>
      </c>
      <c r="C90" s="104"/>
      <c r="D90" s="23">
        <v>11</v>
      </c>
      <c r="E90" s="6" t="e">
        <f>ROUND(E91/E92,3)</f>
        <v>#REF!</v>
      </c>
      <c r="F90" s="5" t="e">
        <f>ROUND(F91/F92,3)</f>
        <v>#REF!</v>
      </c>
      <c r="G90" s="5" t="e">
        <f>ROUND(G91/G92,3)</f>
        <v>#REF!</v>
      </c>
      <c r="H90" s="5" t="e">
        <f>ROUND(H91/H92,3)</f>
        <v>#REF!</v>
      </c>
      <c r="I90" s="78">
        <v>23</v>
      </c>
      <c r="J90" s="87">
        <f>ROUND(J91/J92,2)</f>
        <v>8.58</v>
      </c>
      <c r="K90" s="38" t="e">
        <f>ROUND(E90/$I$90*100,0)</f>
        <v>#REF!</v>
      </c>
      <c r="L90" s="13">
        <f>ROUND(J90/I90*100,0)</f>
        <v>37</v>
      </c>
      <c r="M90" s="13" t="e">
        <f>ROUND(G90/$I$90*100,0)</f>
        <v>#REF!</v>
      </c>
      <c r="N90" s="13" t="e">
        <f>ROUND(H90/$I$90*100,0)</f>
        <v>#REF!</v>
      </c>
      <c r="O90" s="82">
        <f>ROUND(15,1)</f>
        <v>15</v>
      </c>
      <c r="P90" s="78" t="e">
        <f>$O90*K90/100</f>
        <v>#REF!</v>
      </c>
      <c r="Q90" s="14">
        <f>ROUND(D90*L90/100,1)</f>
        <v>4.1</v>
      </c>
    </row>
    <row r="91" spans="1:17" ht="24" customHeight="1">
      <c r="A91" s="36"/>
      <c r="B91" s="103" t="s">
        <v>84</v>
      </c>
      <c r="C91" s="103"/>
      <c r="D91" s="67"/>
      <c r="E91" s="29" t="e">
        <f>'[1]Форма2'!#REF!</f>
        <v>#REF!</v>
      </c>
      <c r="F91" s="33" t="e">
        <f>'[1]Форма2'!#REF!</f>
        <v>#REF!</v>
      </c>
      <c r="G91" s="33" t="e">
        <f>'[1]Форма2'!#REF!</f>
        <v>#REF!</v>
      </c>
      <c r="H91" s="33" t="e">
        <f>'[1]Форма2'!#REF!+G91</f>
        <v>#REF!</v>
      </c>
      <c r="I91" s="22"/>
      <c r="J91" s="30">
        <f>J88</f>
        <v>1687457</v>
      </c>
      <c r="K91" s="38"/>
      <c r="L91" s="13"/>
      <c r="M91" s="13"/>
      <c r="N91" s="13"/>
      <c r="O91" s="32"/>
      <c r="P91" s="22"/>
      <c r="Q91" s="14"/>
    </row>
    <row r="92" spans="1:17" ht="17.25" customHeight="1">
      <c r="A92" s="36"/>
      <c r="B92" s="95" t="s">
        <v>87</v>
      </c>
      <c r="C92" s="95"/>
      <c r="D92" s="67"/>
      <c r="E92" s="29">
        <f>(E93+E94)/2</f>
        <v>229639.5</v>
      </c>
      <c r="F92" s="33">
        <f>(F93+F94)/2</f>
        <v>218180</v>
      </c>
      <c r="G92" s="33">
        <f>(G93+G94)/2</f>
        <v>207150.14999999997</v>
      </c>
      <c r="H92" s="33">
        <f>(H93+H94)/2</f>
        <v>196626.8</v>
      </c>
      <c r="I92" s="22"/>
      <c r="J92" s="72">
        <f>ROUND((J93+J94)/2,0)</f>
        <v>196627</v>
      </c>
      <c r="K92" s="38"/>
      <c r="L92" s="13"/>
      <c r="M92" s="13"/>
      <c r="N92" s="13"/>
      <c r="O92" s="32"/>
      <c r="P92" s="22"/>
      <c r="Q92" s="14"/>
    </row>
    <row r="93" spans="1:17" ht="24" customHeight="1">
      <c r="A93" s="36"/>
      <c r="B93" s="103" t="s">
        <v>88</v>
      </c>
      <c r="C93" s="103"/>
      <c r="D93" s="67"/>
      <c r="E93" s="29">
        <f>'[1]Баланс'!C8</f>
        <v>206319</v>
      </c>
      <c r="F93" s="33">
        <f>'[1]Баланс'!E8</f>
        <v>206319</v>
      </c>
      <c r="G93" s="33">
        <f>'[1]Баланс'!G8</f>
        <v>206319</v>
      </c>
      <c r="H93" s="33">
        <f>'[1]Баланс'!I8</f>
        <v>206319</v>
      </c>
      <c r="I93" s="22"/>
      <c r="J93" s="33">
        <f>'[1]Баланс'!I8</f>
        <v>206319</v>
      </c>
      <c r="K93" s="38"/>
      <c r="L93" s="13"/>
      <c r="M93" s="13"/>
      <c r="N93" s="13"/>
      <c r="O93" s="32"/>
      <c r="P93" s="22"/>
      <c r="Q93" s="14"/>
    </row>
    <row r="94" spans="1:17" ht="25.5" customHeight="1">
      <c r="A94" s="5"/>
      <c r="B94" s="103" t="s">
        <v>89</v>
      </c>
      <c r="C94" s="103"/>
      <c r="D94" s="67"/>
      <c r="E94" s="29">
        <f>'[1]Баланс'!D8</f>
        <v>252960</v>
      </c>
      <c r="F94" s="30">
        <f>'[1]Баланс'!F8</f>
        <v>230041</v>
      </c>
      <c r="G94" s="30">
        <f>'[1]Баланс'!H8</f>
        <v>207981.29999999993</v>
      </c>
      <c r="H94" s="30">
        <f>'[1]Баланс'!J8</f>
        <v>186934.59999999998</v>
      </c>
      <c r="I94" s="22"/>
      <c r="J94" s="33">
        <f>'[1]Баланс'!J8</f>
        <v>186934.59999999998</v>
      </c>
      <c r="K94" s="38"/>
      <c r="L94" s="13"/>
      <c r="M94" s="13"/>
      <c r="N94" s="13"/>
      <c r="O94" s="32"/>
      <c r="P94" s="22"/>
      <c r="Q94" s="14"/>
    </row>
    <row r="95" spans="1:17" ht="24" customHeight="1">
      <c r="A95" s="5">
        <v>12</v>
      </c>
      <c r="B95" s="104" t="s">
        <v>90</v>
      </c>
      <c r="C95" s="104"/>
      <c r="D95" s="23">
        <v>11</v>
      </c>
      <c r="E95" s="24">
        <f>E96/E97</f>
        <v>1.0150375939849625</v>
      </c>
      <c r="F95" s="25">
        <f>F96/F97</f>
        <v>1.0024752475247525</v>
      </c>
      <c r="G95" s="25">
        <f>G96/G97</f>
        <v>0.9926470588235294</v>
      </c>
      <c r="H95" s="25">
        <f>H96/H97</f>
        <v>1.0099750623441397</v>
      </c>
      <c r="I95" s="34">
        <v>1</v>
      </c>
      <c r="J95" s="35">
        <f>ROUND(J96/J97,2)</f>
        <v>5.6</v>
      </c>
      <c r="K95" s="38">
        <f>ROUND($I$95/E95*100,0)</f>
        <v>99</v>
      </c>
      <c r="L95" s="13">
        <f>ROUND(I95/J95*100,0)</f>
        <v>18</v>
      </c>
      <c r="M95" s="13">
        <f>ROUND($I$95/G95*100,0)</f>
        <v>101</v>
      </c>
      <c r="N95" s="13">
        <f>ROUND($I$95/H95*100,0)</f>
        <v>99</v>
      </c>
      <c r="O95" s="82">
        <f>ROUND(15,1)</f>
        <v>15</v>
      </c>
      <c r="P95" s="78">
        <f>$O95*K95/100</f>
        <v>14.85</v>
      </c>
      <c r="Q95" s="14">
        <f>ROUND(D95*L95/100,1)</f>
        <v>2</v>
      </c>
    </row>
    <row r="96" spans="1:17" ht="25.5" customHeight="1">
      <c r="A96" s="36"/>
      <c r="B96" s="95" t="s">
        <v>91</v>
      </c>
      <c r="C96" s="95"/>
      <c r="D96" s="23"/>
      <c r="E96" s="29">
        <v>405</v>
      </c>
      <c r="F96" s="33">
        <v>405</v>
      </c>
      <c r="G96" s="33">
        <v>405</v>
      </c>
      <c r="H96" s="33">
        <v>405</v>
      </c>
      <c r="I96" s="22"/>
      <c r="J96" s="33">
        <v>56</v>
      </c>
      <c r="K96" s="38"/>
      <c r="L96" s="13"/>
      <c r="M96" s="13"/>
      <c r="N96" s="13"/>
      <c r="O96" s="32"/>
      <c r="P96" s="22"/>
      <c r="Q96" s="14"/>
    </row>
    <row r="97" spans="1:17" ht="24" customHeight="1">
      <c r="A97" s="36"/>
      <c r="B97" s="95" t="s">
        <v>92</v>
      </c>
      <c r="C97" s="95"/>
      <c r="D97" s="23"/>
      <c r="E97" s="77">
        <v>399</v>
      </c>
      <c r="F97" s="63">
        <v>404</v>
      </c>
      <c r="G97" s="63">
        <v>408</v>
      </c>
      <c r="H97" s="63">
        <v>401</v>
      </c>
      <c r="I97" s="22"/>
      <c r="J97" s="63">
        <v>10</v>
      </c>
      <c r="K97" s="13"/>
      <c r="L97" s="13"/>
      <c r="M97" s="13"/>
      <c r="N97" s="13"/>
      <c r="O97" s="32"/>
      <c r="P97" s="22"/>
      <c r="Q97" s="14"/>
    </row>
    <row r="98" spans="1:17" ht="25.5" customHeight="1" hidden="1">
      <c r="A98" s="60"/>
      <c r="B98" s="88"/>
      <c r="C98" s="88"/>
      <c r="E98" s="89"/>
      <c r="F98" s="90"/>
      <c r="G98" s="90"/>
      <c r="H98" s="90"/>
      <c r="J98" s="90"/>
      <c r="Q98" s="59"/>
    </row>
    <row r="99" spans="1:17" ht="25.5" customHeight="1" hidden="1">
      <c r="A99" s="60"/>
      <c r="B99" s="88"/>
      <c r="C99" s="88"/>
      <c r="E99" s="89"/>
      <c r="F99" s="90"/>
      <c r="G99" s="90"/>
      <c r="H99" s="90"/>
      <c r="J99" s="90"/>
      <c r="Q99" s="59"/>
    </row>
    <row r="100" spans="1:17" ht="25.5" customHeight="1" hidden="1">
      <c r="A100" s="60"/>
      <c r="B100" s="88"/>
      <c r="C100" s="88"/>
      <c r="E100" s="89"/>
      <c r="F100" s="90"/>
      <c r="G100" s="90"/>
      <c r="H100" s="90"/>
      <c r="J100" s="90"/>
      <c r="Q100" s="59"/>
    </row>
    <row r="101" spans="1:17" ht="25.5" customHeight="1" hidden="1">
      <c r="A101" s="60"/>
      <c r="B101" s="88"/>
      <c r="C101" s="88"/>
      <c r="E101" s="89"/>
      <c r="F101" s="90"/>
      <c r="G101" s="90"/>
      <c r="H101" s="90"/>
      <c r="J101" s="90"/>
      <c r="Q101" s="59"/>
    </row>
    <row r="102" spans="1:17" ht="25.5" customHeight="1" hidden="1">
      <c r="A102" s="60"/>
      <c r="B102" s="88"/>
      <c r="C102" s="88"/>
      <c r="E102" s="89"/>
      <c r="F102" s="90"/>
      <c r="G102" s="90"/>
      <c r="H102" s="90"/>
      <c r="J102" s="90"/>
      <c r="Q102" s="59"/>
    </row>
    <row r="103" spans="1:17" ht="25.5" customHeight="1" hidden="1">
      <c r="A103" s="60"/>
      <c r="B103" s="88"/>
      <c r="C103" s="88"/>
      <c r="E103" s="89"/>
      <c r="F103" s="90"/>
      <c r="G103" s="90"/>
      <c r="H103" s="90"/>
      <c r="J103" s="90"/>
      <c r="Q103" s="59"/>
    </row>
    <row r="104" spans="1:17" ht="25.5" customHeight="1" hidden="1">
      <c r="A104" s="60"/>
      <c r="B104" s="88"/>
      <c r="C104" s="88"/>
      <c r="E104" s="89"/>
      <c r="F104" s="90"/>
      <c r="G104" s="90"/>
      <c r="H104" s="90"/>
      <c r="J104" s="90"/>
      <c r="Q104" s="59"/>
    </row>
    <row r="105" spans="1:17" ht="25.5" customHeight="1" hidden="1">
      <c r="A105" s="60"/>
      <c r="B105" s="88"/>
      <c r="C105" s="88"/>
      <c r="E105" s="89"/>
      <c r="F105" s="90"/>
      <c r="G105" s="90"/>
      <c r="H105" s="90"/>
      <c r="J105" s="90"/>
      <c r="Q105" s="59"/>
    </row>
    <row r="106" spans="1:17" ht="25.5" customHeight="1" hidden="1">
      <c r="A106" s="60"/>
      <c r="B106" s="88"/>
      <c r="C106" s="88"/>
      <c r="E106" s="89"/>
      <c r="F106" s="90"/>
      <c r="G106" s="90"/>
      <c r="H106" s="90"/>
      <c r="J106" s="90"/>
      <c r="Q106" s="59"/>
    </row>
    <row r="107" spans="1:17" ht="25.5" customHeight="1" hidden="1">
      <c r="A107" s="60"/>
      <c r="B107" s="88"/>
      <c r="C107" s="88"/>
      <c r="E107" s="89"/>
      <c r="F107" s="90"/>
      <c r="G107" s="90"/>
      <c r="H107" s="90"/>
      <c r="J107" s="90"/>
      <c r="Q107" s="59"/>
    </row>
    <row r="108" spans="1:17" ht="25.5" customHeight="1" hidden="1">
      <c r="A108" s="60"/>
      <c r="B108" s="88"/>
      <c r="C108" s="88"/>
      <c r="E108" s="89"/>
      <c r="F108" s="90"/>
      <c r="G108" s="90"/>
      <c r="H108" s="90"/>
      <c r="J108" s="90"/>
      <c r="Q108" s="59"/>
    </row>
    <row r="109" spans="1:17" s="83" customFormat="1" ht="12" customHeight="1">
      <c r="A109" s="96" t="s">
        <v>42</v>
      </c>
      <c r="B109" s="97"/>
      <c r="C109" s="98"/>
      <c r="D109" s="23">
        <f>SUM(D40:D97)</f>
        <v>100</v>
      </c>
      <c r="E109" s="91"/>
      <c r="F109" s="92"/>
      <c r="G109" s="92"/>
      <c r="H109" s="92"/>
      <c r="I109" s="93"/>
      <c r="J109" s="92"/>
      <c r="K109" s="93"/>
      <c r="L109" s="93"/>
      <c r="M109" s="93"/>
      <c r="N109" s="93"/>
      <c r="O109" s="27">
        <f>SUM(O81:O97)</f>
        <v>85</v>
      </c>
      <c r="P109" s="34" t="e">
        <f>SUM(P81:P97)</f>
        <v>#REF!</v>
      </c>
      <c r="Q109" s="23">
        <f>ROUND(SUM(Q40:Q97),1)</f>
        <v>87.8</v>
      </c>
    </row>
    <row r="110" spans="1:17" s="83" customFormat="1" ht="12">
      <c r="A110" s="99" t="s">
        <v>93</v>
      </c>
      <c r="B110" s="100"/>
      <c r="C110" s="101"/>
      <c r="D110" s="94">
        <f>(D38+D109)/2</f>
        <v>100</v>
      </c>
      <c r="E110" s="94">
        <f>(E38+E109)/2</f>
        <v>0</v>
      </c>
      <c r="F110" s="94">
        <f>(F38+F109)/2</f>
        <v>0</v>
      </c>
      <c r="G110" s="94">
        <f>(G38+G109)/2</f>
        <v>0</v>
      </c>
      <c r="H110" s="94">
        <f>(H38+H109)/2</f>
        <v>0</v>
      </c>
      <c r="I110" s="94"/>
      <c r="J110" s="94"/>
      <c r="K110" s="94"/>
      <c r="L110" s="94"/>
      <c r="M110" s="94">
        <f>(M38+M109)/2</f>
        <v>0</v>
      </c>
      <c r="N110" s="94">
        <f>(N38+N109)/2</f>
        <v>0</v>
      </c>
      <c r="O110" s="94">
        <f>(O38+O109)/2</f>
        <v>65.45</v>
      </c>
      <c r="P110" s="94" t="e">
        <f>(P38+P109)/2</f>
        <v>#REF!</v>
      </c>
      <c r="Q110" s="94">
        <f>(Q38+Q109)/2</f>
        <v>-11.540000000000006</v>
      </c>
    </row>
    <row r="111" spans="2:8" ht="11.25" customHeight="1">
      <c r="B111" s="102"/>
      <c r="C111" s="102"/>
      <c r="D111" s="102"/>
      <c r="E111" s="102"/>
      <c r="F111" s="102"/>
      <c r="G111" s="102"/>
      <c r="H111" s="102"/>
    </row>
  </sheetData>
  <sheetProtection/>
  <mergeCells count="100">
    <mergeCell ref="I1:O1"/>
    <mergeCell ref="I2:O2"/>
    <mergeCell ref="I3:O3"/>
    <mergeCell ref="A4:O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A39:Q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K67:M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7:C97"/>
    <mergeCell ref="A109:C109"/>
    <mergeCell ref="A110:C110"/>
    <mergeCell ref="B111:H111"/>
    <mergeCell ref="B91:C91"/>
    <mergeCell ref="B92:C92"/>
    <mergeCell ref="B93:C93"/>
    <mergeCell ref="B94:C94"/>
    <mergeCell ref="B95:C95"/>
    <mergeCell ref="B96:C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DEFENDER</dc:creator>
  <cp:keywords/>
  <dc:description/>
  <cp:lastModifiedBy>DEFENDER</cp:lastModifiedBy>
  <dcterms:created xsi:type="dcterms:W3CDTF">2023-05-25T05:14:02Z</dcterms:created>
  <dcterms:modified xsi:type="dcterms:W3CDTF">2023-06-02T14:02:41Z</dcterms:modified>
  <cp:category/>
  <cp:version/>
  <cp:contentType/>
  <cp:contentStatus/>
</cp:coreProperties>
</file>